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fxkPvxUYjBLi4RaGObIaB6+XOhJg0RtX++SjR7AL19mQBkmXgN/lmHCWddud6FGS5pX/lAYZBRGcbqqE7x1uZA==" workbookSaltValue="FcoPueVqZG4eNOc03+uo9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R25" i="14" s="1"/>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X12" i="21" s="1"/>
  <c r="F16" i="11"/>
  <c r="AQ16" i="11" s="1"/>
  <c r="EP31" i="8"/>
  <c r="AL14" i="16"/>
  <c r="AJ14" i="16"/>
  <c r="EP31" i="19"/>
  <c r="T9" i="11"/>
  <c r="BF11" i="11"/>
  <c r="BH11" i="16"/>
  <c r="BH21" i="16"/>
  <c r="S20" i="14"/>
  <c r="V20" i="14" s="1"/>
  <c r="BL9" i="11"/>
  <c r="BK13" i="11"/>
  <c r="BH18" i="16"/>
  <c r="BH16" i="11"/>
  <c r="BF19" i="11"/>
  <c r="BH19" i="16"/>
  <c r="BJ19" i="11"/>
  <c r="P18" i="17"/>
  <c r="BL18" i="11"/>
  <c r="BM29" i="11"/>
  <c r="BF21" i="11"/>
  <c r="BI28" i="11"/>
  <c r="BF18" i="11"/>
  <c r="BF29" i="11"/>
  <c r="V25" i="11"/>
  <c r="BK12" i="11"/>
  <c r="BG20" i="11"/>
  <c r="BH19" i="11"/>
  <c r="BF17" i="11"/>
  <c r="BF25" i="11"/>
  <c r="BG22" i="11"/>
  <c r="BK19" i="11"/>
  <c r="BF10" i="11"/>
  <c r="S18" i="16"/>
  <c r="BK29" i="11"/>
  <c r="BK9" i="11"/>
  <c r="BL12" i="11"/>
  <c r="AZ29" i="11"/>
  <c r="AZ19" i="11"/>
  <c r="S14" i="16"/>
  <c r="V12" i="21"/>
  <c r="P14" i="16"/>
  <c r="F13" i="16"/>
  <c r="Z14" i="17"/>
  <c r="R30" i="17"/>
  <c r="V18" i="16"/>
  <c r="K26" i="2"/>
  <c r="N26" i="2"/>
  <c r="M23" i="2"/>
  <c r="K30" i="2"/>
  <c r="F30" i="17"/>
  <c r="F26" i="17"/>
  <c r="F14" i="7"/>
  <c r="BK21" i="11"/>
  <c r="BK16" i="11"/>
  <c r="BK11" i="11"/>
  <c r="S9" i="17"/>
  <c r="V11" i="11"/>
  <c r="BJ21" i="11"/>
  <c r="AZ18" i="11"/>
  <c r="BG29" i="11"/>
  <c r="BI25" i="11"/>
  <c r="V21" i="11"/>
  <c r="AP10" i="21"/>
  <c r="BI10" i="11"/>
  <c r="BM12" i="11"/>
  <c r="BF22" i="11"/>
  <c r="AP21" i="20"/>
  <c r="Q10" i="21"/>
  <c r="V13" i="11"/>
  <c r="BH9" i="11"/>
  <c r="BH20" i="16"/>
  <c r="BM25" i="11"/>
  <c r="V9" i="11"/>
  <c r="BI16" i="11"/>
  <c r="BJ11" i="11"/>
  <c r="BK25" i="11"/>
  <c r="BI19" i="11"/>
  <c r="BJ29" i="11"/>
  <c r="BH22" i="16"/>
  <c r="V28" i="11"/>
  <c r="BJ16" i="11"/>
  <c r="BM13" i="11"/>
  <c r="R10" i="21"/>
  <c r="R14" i="21" s="1"/>
  <c r="BH20" i="11"/>
  <c r="AP22" i="20"/>
  <c r="BJ12" i="11"/>
  <c r="BJ20" i="11"/>
  <c r="BI18" i="11"/>
  <c r="AP16" i="20"/>
  <c r="BG9" i="11"/>
  <c r="BG16" i="11"/>
  <c r="AZ13" i="11"/>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E32" i="20"/>
  <c r="AZ32" i="20"/>
  <c r="O18" i="11"/>
  <c r="W32" i="20"/>
  <c r="AJ32" i="20"/>
  <c r="G30" i="14"/>
  <c r="G23" i="14"/>
  <c r="U18" i="11"/>
  <c r="AX32" i="20"/>
  <c r="Y32" i="20"/>
  <c r="L32" i="20"/>
  <c r="AG32" i="20"/>
  <c r="H32" i="20"/>
  <c r="T32" i="21"/>
  <c r="F32" i="20"/>
  <c r="AF32" i="20"/>
  <c r="G26" i="14"/>
  <c r="S32" i="20"/>
  <c r="K32" i="20"/>
  <c r="AQ32" i="21"/>
  <c r="O17" i="11"/>
  <c r="AK32" i="20"/>
  <c r="U12" i="11"/>
  <c r="AU32" i="20"/>
  <c r="G14" i="14"/>
  <c r="R32" i="20"/>
  <c r="BF17" i="8" l="1"/>
  <c r="AL21" i="11"/>
  <c r="L17" i="14"/>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AA32" i="20"/>
  <c r="AN32" i="20"/>
  <c r="AD32" i="20"/>
  <c r="AC32" i="20"/>
  <c r="AV32" i="20"/>
  <c r="O10" i="11"/>
  <c r="AP32" i="20"/>
  <c r="U17" i="11"/>
  <c r="W32" i="21"/>
  <c r="AQ32" i="20"/>
  <c r="AL32" i="20"/>
  <c r="X32" i="20"/>
  <c r="T32" i="20"/>
  <c r="K17" i="12" l="1"/>
  <c r="K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<sst xmlns="http://schemas.openxmlformats.org/spreadsheetml/2006/main" count="2668" uniqueCount="1185">
  <si>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</si>
  <si>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</si>
  <si>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</si>
  <si>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</si>
  <si>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</si>
  <si>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</si>
  <si>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</si>
  <si>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</si>
  <si>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</si>
  <si>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</si>
  <si>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</si>
  <si>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</si>
  <si>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</si>
  <si>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</si>
  <si>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</si>
  <si>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</si>
  <si>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</si>
  <si>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</si>
  <si>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</si>
  <si>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</si>
  <si>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</si>
  <si>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</si>
  <si>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</si>
  <si>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</si>
  <si>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</si>
  <si>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</si>
  <si>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</si>
  <si>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</si>
  <si>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</si>
  <si>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</si>
  <si>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</si>
  <si>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</si>
  <si>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</si>
  <si>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</si>
  <si>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</si>
  <si>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</si>
  <si>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</si>
  <si>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</si>
  <si>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</si>
  <si>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</si>
  <si>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</si>
  <si>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</si>
  <si>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</si>
  <si>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</si>
  <si>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</si>
  <si>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</si>
  <si>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</si>
  <si>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</si>
  <si>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</si>
  <si>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</si>
  <si>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</si>
  <si>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</si>
  <si>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</si>
  <si>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</si>
  <si>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</si>
  <si>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</si>
  <si>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</si>
  <si>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</si>
  <si>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</si>
  <si>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</si>
  <si>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</si>
  <si>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</si>
  <si>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</si>
  <si>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</si>
  <si>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</si>
  <si>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</si>
  <si>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</si>
  <si>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</si>
  <si>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</si>
  <si>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</si>
  <si>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</si>
  <si>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</si>
  <si>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</si>
  <si>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</si>
  <si>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</si>
  <si>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</si>
  <si>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</si>
  <si>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</si>
  <si>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</si>
  <si>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</si>
  <si>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</si>
  <si>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</si>
  <si>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</si>
  <si>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</si>
  <si>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</si>
  <si>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</si>
  <si>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</si>
  <si>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</si>
  <si>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</si>
  <si>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</si>
  <si>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</si>
  <si>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</si>
  <si>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</si>
  <si>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</si>
  <si>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</si>
  <si>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</si>
  <si>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</si>
  <si>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</si>
  <si>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</si>
  <si>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</si>
  <si>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</si>
  <si>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</si>
  <si>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</si>
  <si>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</si>
  <si>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</si>
  <si>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</si>
  <si>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</si>
  <si>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</si>
  <si>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</si>
  <si>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</si>
  <si>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</si>
  <si>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</si>
  <si>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</si>
  <si>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</si>
  <si>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</si>
  <si>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</si>
  <si>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</si>
  <si>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</si>
  <si>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</si>
  <si>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</si>
  <si>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</si>
  <si>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</si>
  <si>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</si>
  <si>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</si>
  <si>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</si>
  <si>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</si>
  <si>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</si>
  <si>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</si>
  <si>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</si>
  <si>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</si>
  <si>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</si>
  <si>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</si>
  <si>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</si>
  <si>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</si>
  <si>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</si>
  <si>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</si>
  <si>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</si>
  <si>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</si>
  <si>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</si>
  <si>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</si>
  <si>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</si>
  <si>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</si>
  <si>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</si>
  <si>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</si>
  <si>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</si>
  <si>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</si>
  <si>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</si>
  <si>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</si>
  <si>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</si>
  <si>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</si>
  <si>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</si>
  <si>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</si>
  <si>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</si>
  <si>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</si>
  <si>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</si>
  <si>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</si>
  <si>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</si>
  <si>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</si>
  <si>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</si>
  <si>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</si>
  <si>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</si>
  <si>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</si>
  <si>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</si>
  <si>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</si>
  <si>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</si>
  <si>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</si>
  <si>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</si>
  <si>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</si>
  <si>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</si>
  <si>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</si>
  <si>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</si>
  <si>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</si>
  <si>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</si>
  <si>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</si>
  <si>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</si>
  <si>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</si>
  <si>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</si>
  <si>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</si>
  <si>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</si>
  <si>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</si>
  <si>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</si>
  <si>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</si>
  <si>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</si>
  <si>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</si>
  <si>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</si>
  <si>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</si>
  <si>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</si>
  <si>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</si>
  <si>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</si>
  <si>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</si>
  <si>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</si>
  <si>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</si>
  <si>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</si>
  <si>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</si>
  <si>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</si>
  <si>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</si>
  <si>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</si>
  <si>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</si>
  <si>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</si>
  <si>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</si>
  <si>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</si>
  <si>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</si>
  <si>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</si>
  <si>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</si>
  <si>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</si>
  <si>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</si>
  <si>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</si>
  <si>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</si>
  <si>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</si>
  <si>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</si>
  <si>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</si>
  <si>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</si>
  <si>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</si>
  <si>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</si>
  <si>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</si>
  <si>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</si>
  <si>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</si>
  <si>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</si>
  <si>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</si>
  <si>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</si>
  <si>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</si>
  <si>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</si>
  <si>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</si>
  <si>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</si>
  <si>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</si>
  <si>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</si>
  <si>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</si>
  <si>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</si>
  <si>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</si>
  <si>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</si>
  <si>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</si>
  <si>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</si>
  <si>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</si>
  <si>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</si>
  <si>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</si>
  <si>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</si>
  <si>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</si>
  <si>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</si>
  <si>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</si>
  <si>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</si>
  <si>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</si>
  <si>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</si>
  <si>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</si>
  <si>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</si>
  <si>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</si>
  <si>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</si>
  <si>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</si>
  <si>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</si>
  <si>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</si>
  <si>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</si>
  <si>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</si>
  <si>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</si>
  <si>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</si>
  <si>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</si>
  <si>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</si>
  <si>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</si>
  <si>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</si>
  <si>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</si>
  <si>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</si>
  <si>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</si>
  <si>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</si>
  <si>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</si>
  <si>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</si>
  <si>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</si>
  <si>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</si>
  <si>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</si>
  <si>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</si>
  <si>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</si>
  <si>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</si>
  <si>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</si>
  <si>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</si>
  <si>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</si>
  <si>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</si>
  <si>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</si>
  <si>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</si>
  <si>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</si>
  <si>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</si>
  <si>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</si>
  <si>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</si>
  <si>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</si>
  <si>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</si>
  <si>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</si>
  <si>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</si>
  <si>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</si>
  <si>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</si>
  <si>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</si>
  <si>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</si>
  <si>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</si>
  <si>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</si>
  <si>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</si>
  <si>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</si>
  <si>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</si>
  <si>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</si>
  <si>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</si>
  <si>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</si>
  <si>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</si>
  <si>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</si>
  <si>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</si>
  <si>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</si>
  <si>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</si>
  <si>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</si>
  <si>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</si>
  <si>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</si>
  <si>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</si>
  <si>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</si>
  <si>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</si>
  <si>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</si>
  <si>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</si>
  <si>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</si>
  <si>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</si>
  <si>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</si>
  <si>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</si>
  <si>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</si>
  <si>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</si>
  <si>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</si>
  <si>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</si>
  <si>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</si>
  <si>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</si>
  <si>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</si>
  <si>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</si>
  <si>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</si>
  <si>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</si>
  <si>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</si>
  <si>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</si>
  <si>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</si>
  <si>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</si>
  <si>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</si>
  <si>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</si>
  <si>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</si>
  <si>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</si>
  <si>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</si>
  <si>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</si>
  <si>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</si>
  <si>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</si>
  <si>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</si>
  <si>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</si>
  <si>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</si>
  <si>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</si>
  <si>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</si>
  <si>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</si>
  <si>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</si>
  <si>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</si>
  <si>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</si>
  <si>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</si>
  <si>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</si>
  <si>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</si>
  <si>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</si>
  <si>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</si>
  <si>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</si>
  <si>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</si>
  <si>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</si>
  <si>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</si>
  <si>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</si>
  <si>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</si>
  <si>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</si>
  <si>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</si>
  <si>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</si>
  <si>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</si>
  <si>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</si>
  <si>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</si>
  <si>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</si>
  <si>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</si>
  <si>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</si>
  <si>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</si>
  <si>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</si>
  <si>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</si>
  <si>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</si>
  <si>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</si>
  <si>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</si>
  <si>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</si>
  <si>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</si>
  <si>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</si>
  <si>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</si>
  <si>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</si>
  <si>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</si>
  <si>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</si>
  <si>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</si>
  <si>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</si>
  <si>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</si>
  <si>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</si>
  <si>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</si>
  <si>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</si>
  <si>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</si>
  <si>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</si>
  <si>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</si>
  <si>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</si>
  <si>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</si>
  <si>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</si>
  <si>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</si>
  <si>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</si>
  <si>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</si>
  <si>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</si>
  <si>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</si>
  <si>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</si>
  <si>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</si>
  <si>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</si>
  <si>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</si>
  <si>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</si>
  <si>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</si>
  <si>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</si>
  <si>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</si>
  <si>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</si>
  <si>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</si>
  <si>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</si>
  <si>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</si>
  <si>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</si>
  <si>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</si>
  <si>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</si>
  <si>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</si>
  <si>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</si>
  <si>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</si>
  <si>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</si>
  <si>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</si>
  <si>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</si>
  <si>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</si>
  <si>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</si>
  <si>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</si>
  <si>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</si>
  <si>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</si>
  <si>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</si>
  <si>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</si>
  <si>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</si>
  <si>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</si>
  <si>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</si>
  <si>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</si>
  <si>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</si>
  <si>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</si>
  <si>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</si>
  <si>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</si>
  <si>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</si>
  <si>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</si>
  <si>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</si>
  <si>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</si>
  <si>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</si>
  <si>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</si>
  <si>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</si>
  <si>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</si>
  <si>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</si>
  <si>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</si>
  <si>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</si>
  <si>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</si>
  <si>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</si>
  <si>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</si>
  <si>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</si>
  <si>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</si>
  <si>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</si>
  <si>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</si>
  <si>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</si>
  <si>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</si>
  <si>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</si>
  <si>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</si>
  <si>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</si>
  <si>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</si>
  <si>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</si>
  <si>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</si>
  <si>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</si>
  <si>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</si>
  <si>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</si>
  <si>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</si>
  <si>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</si>
  <si>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</si>
  <si>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</si>
  <si>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</si>
  <si>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</si>
  <si>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</si>
  <si>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</si>
  <si>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</si>
  <si>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</si>
  <si>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</si>
  <si>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</si>
  <si>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</si>
  <si>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</si>
  <si>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</si>
  <si>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</si>
  <si>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</si>
  <si>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</si>
  <si>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</si>
  <si>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</si>
  <si>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</si>
  <si>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</si>
  <si>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</si>
  <si>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</si>
  <si>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</si>
  <si>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</si>
  <si>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</si>
  <si>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</si>
  <si>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</si>
  <si>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</si>
  <si>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</si>
  <si>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</si>
  <si>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</si>
  <si>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</si>
  <si>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</si>
  <si>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</si>
  <si>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</si>
  <si>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</si>
  <si>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</si>
  <si>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</si>
  <si>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</si>
  <si>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</si>
  <si>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</si>
  <si>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</si>
  <si>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</si>
  <si>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</si>
  <si>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</si>
  <si>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</si>
  <si>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</si>
  <si>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</si>
  <si>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</si>
  <si>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</si>
  <si>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</si>
  <si>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</si>
  <si>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</si>
  <si>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</si>
  <si>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</si>
  <si>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</si>
  <si>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</si>
  <si>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</si>
  <si>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</si>
  <si>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</si>
  <si>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</si>
  <si>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</si>
  <si>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</si>
  <si>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</si>
  <si>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</si>
  <si>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</si>
  <si>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</si>
  <si>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</si>
  <si>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</si>
  <si>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</si>
  <si>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</si>
  <si>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</si>
  <si>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</si>
  <si>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</si>
  <si>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</si>
  <si>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</si>
  <si>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</si>
  <si>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</si>
  <si>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</si>
  <si>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</si>
  <si>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</si>
  <si>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</si>
  <si>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</si>
  <si>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</si>
  <si>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</si>
  <si>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</si>
  <si>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</si>
  <si>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</si>
  <si>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</si>
  <si>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</si>
  <si>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</si>
  <si>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</si>
  <si>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</si>
  <si>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</si>
  <si>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</si>
  <si>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</si>
  <si>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</si>
  <si>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</si>
  <si>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</si>
  <si>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</si>
  <si>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</si>
  <si>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</si>
  <si>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</si>
  <si>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</si>
  <si>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</si>
  <si>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</si>
  <si>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</si>
  <si>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</si>
  <si>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</si>
  <si>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</si>
  <si>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</si>
  <si>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</si>
  <si>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</si>
  <si>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</si>
  <si>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</si>
  <si>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</si>
  <si>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</si>
  <si>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</si>
  <si>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</si>
  <si>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</si>
  <si>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</si>
  <si>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</si>
  <si>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</si>
  <si>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</si>
  <si>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</si>
  <si>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</si>
  <si>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</si>
  <si>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</si>
  <si>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</si>
  <si>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</si>
  <si>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</si>
  <si>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</si>
  <si>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</si>
  <si>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</si>
  <si>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</si>
  <si>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</si>
  <si>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</si>
  <si>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</si>
  <si>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</si>
  <si>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</si>
  <si>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</si>
  <si>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</si>
  <si>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</si>
  <si>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</si>
  <si>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</si>
  <si>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</si>
  <si>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</si>
  <si>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</si>
  <si>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</si>
  <si>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</si>
  <si>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</si>
  <si>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</si>
  <si>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</si>
  <si>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</si>
  <si>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</si>
  <si>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</si>
  <si>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</si>
  <si>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</si>
  <si>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</si>
  <si>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</si>
  <si>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</si>
  <si>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</si>
  <si>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</si>
  <si>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</si>
  <si>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</si>
  <si>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</si>
  <si>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</si>
  <si>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</si>
  <si>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</si>
  <si>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</si>
  <si>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</si>
  <si>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</si>
  <si>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</si>
  <si>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</si>
  <si>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</si>
  <si>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</si>
  <si>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</si>
  <si>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</si>
  <si>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</si>
  <si>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</si>
  <si>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</si>
  <si>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</si>
  <si>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</si>
  <si>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</si>
  <si>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</si>
  <si>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</si>
  <si>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</si>
  <si>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</si>
  <si>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</si>
  <si>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</si>
  <si>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</si>
  <si>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</si>
  <si>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</si>
  <si>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</si>
  <si>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</si>
  <si>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</si>
  <si>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</si>
  <si>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</si>
  <si>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</si>
  <si>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</si>
  <si>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</si>
  <si>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</si>
  <si>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</si>
  <si>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</si>
  <si>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</si>
  <si>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</si>
  <si>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</si>
  <si>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</si>
  <si>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</si>
  <si>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</si>
  <si>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</si>
  <si>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</si>
  <si>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</si>
  <si>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</si>
  <si>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</si>
  <si>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</si>
  <si>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</si>
  <si>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</si>
  <si>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</si>
  <si>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</si>
  <si>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</si>
  <si>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</si>
  <si>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</si>
  <si>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</si>
  <si>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</si>
  <si>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</si>
  <si>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</si>
  <si>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</si>
  <si>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</si>
  <si>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</si>
  <si>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</si>
  <si>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</si>
  <si>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</si>
  <si>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</si>
  <si>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</si>
  <si>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</si>
  <si>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</si>
  <si>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</si>
  <si>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</si>
  <si>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</si>
  <si>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</si>
  <si>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</si>
  <si>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</si>
  <si>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</si>
  <si>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</si>
  <si>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</si>
  <si>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</si>
  <si>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</si>
  <si>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</si>
  <si>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</si>
  <si>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</si>
  <si>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</si>
  <si>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</si>
  <si>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</si>
  <si>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</si>
  <si>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</si>
  <si>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</si>
  <si>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</si>
  <si>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</si>
  <si>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</si>
  <si>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</si>
  <si>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</si>
  <si>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</si>
  <si>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</si>
  <si>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</si>
  <si>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</si>
  <si>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</si>
  <si>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</si>
  <si>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</si>
  <si>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</si>
  <si>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</si>
  <si>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</si>
  <si>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</si>
  <si>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</si>
  <si>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</si>
  <si>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</si>
  <si>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</si>
  <si>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</si>
  <si>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</si>
  <si>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</si>
  <si>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</si>
  <si>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</si>
  <si>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</si>
  <si>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</si>
  <si>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</si>
  <si>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</si>
  <si>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</si>
  <si>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</si>
  <si>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</si>
  <si>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</si>
  <si>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</si>
  <si>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</si>
  <si>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</si>
  <si>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</si>
  <si>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</si>
  <si>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</si>
  <si>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</si>
  <si>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</si>
  <si>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</si>
  <si>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</si>
  <si>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</si>
  <si>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</si>
  <si>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</si>
  <si>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</si>
  <si>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</si>
  <si>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</si>
  <si>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</si>
  <si>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</si>
  <si>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</si>
  <si>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</si>
  <si>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</si>
  <si>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</si>
  <si>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</si>
  <si>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</si>
  <si>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</si>
  <si>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</si>
  <si>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</si>
  <si>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</si>
  <si>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</si>
  <si>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</si>
  <si>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</si>
  <si>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</si>
  <si>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</si>
  <si>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</si>
  <si>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</si>
  <si>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</si>
  <si>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</si>
  <si>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</si>
  <si>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</si>
  <si>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</si>
  <si>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</si>
  <si>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</si>
  <si>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</si>
  <si>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</si>
  <si>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</si>
  <si>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</si>
  <si>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</si>
  <si>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</si>
  <si>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</si>
  <si>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</si>
  <si>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</si>
  <si>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</si>
  <si>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</si>
  <si>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</si>
  <si>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</si>
  <si>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</si>
  <si>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</si>
  <si>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</si>
  <si>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</si>
  <si>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</si>
  <si>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</si>
  <si>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</si>
  <si>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</si>
  <si>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</si>
  <si>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</si>
  <si>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</si>
  <si>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</si>
  <si>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</si>
  <si>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</si>
  <si>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</si>
  <si>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</si>
  <si>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</si>
  <si>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</si>
  <si>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</si>
  <si>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</si>
  <si>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</si>
  <si>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</si>
  <si>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</si>
  <si>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</si>
  <si>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</si>
  <si>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</si>
  <si>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</si>
  <si>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</si>
  <si>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</si>
  <si>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</si>
  <si>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</si>
  <si>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</si>
  <si>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</si>
  <si>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</si>
  <si>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</si>
  <si>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</si>
  <si>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</si>
  <si>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</si>
  <si>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</si>
  <si>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</si>
  <si>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</si>
  <si>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</si>
  <si>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</si>
  <si>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</si>
  <si>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</si>
  <si>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</si>
  <si>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</si>
  <si>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</si>
  <si>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</si>
  <si>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</si>
  <si>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</si>
  <si>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</si>
  <si>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</si>
  <si>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</si>
  <si>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</si>
  <si>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</si>
  <si>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</si>
  <si>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</si>
  <si>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</si>
  <si>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</si>
  <si>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</si>
  <si>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</si>
  <si>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</si>
  <si>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</si>
  <si>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</si>
  <si>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</si>
  <si>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</si>
  <si>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</si>
  <si>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</si>
  <si>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</si>
  <si>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</si>
  <si>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</si>
  <si>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</si>
  <si>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</si>
  <si>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</si>
  <si>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</si>
  <si>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</si>
  <si>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</si>
  <si>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</si>
  <si>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</si>
  <si>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</si>
  <si>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</si>
  <si>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</si>
  <si>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</si>
  <si>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</si>
  <si>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</si>
  <si>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</si>
  <si>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</si>
  <si>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</si>
  <si>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</si>
  <si>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</si>
  <si>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</si>
  <si>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</si>
  <si>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</si>
  <si>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</si>
  <si>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</si>
  <si>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</si>
  <si>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</si>
  <si>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</si>
  <si>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</si>
  <si>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</si>
  <si>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</si>
  <si>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</si>
  <si>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</si>
  <si>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</si>
  <si>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</si>
  <si>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</si>
  <si>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</si>
  <si>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</si>
  <si>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</si>
  <si>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</si>
  <si>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</si>
  <si>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</si>
  <si>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</si>
  <si>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</si>
  <si>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</si>
  <si>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</si>
  <si>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</si>
  <si>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</si>
  <si>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</si>
  <si>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</si>
  <si>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</si>
  <si>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</si>
  <si>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</si>
  <si>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</si>
  <si>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</si>
  <si>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</si>
  <si>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</si>
  <si>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</si>
  <si>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</si>
  <si>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</si>
  <si>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</si>
  <si>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</si>
  <si>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</si>
  <si>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</si>
  <si>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</si>
  <si>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</si>
  <si>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</si>
  <si>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</si>
  <si>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</si>
  <si>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</si>
  <si>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</si>
  <si>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</si>
  <si>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</si>
  <si>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</si>
  <si>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</si>
  <si>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</si>
  <si>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</si>
  <si>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</si>
  <si>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</si>
  <si>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</si>
  <si>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</si>
  <si>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</si>
  <si>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</si>
  <si>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</si>
  <si>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</si>
  <si>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</si>
  <si>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</si>
  <si>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</si>
  <si>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</si>
  <si>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</si>
  <si>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</si>
  <si>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</si>
  <si>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</si>
  <si>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</si>
  <si>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</si>
  <si>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</si>
  <si>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</si>
  <si>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</si>
  <si>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</si>
  <si>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</si>
  <si>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</si>
  <si>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</si>
  <si>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</si>
  <si>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</si>
  <si>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</si>
  <si>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</si>
  <si>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</si>
  <si>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</si>
  <si>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</si>
  <si>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</si>
  <si>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</si>
  <si>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</si>
  <si>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</si>
  <si>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</si>
  <si>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</si>
  <si>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</si>
  <si>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</si>
  <si>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</si>
  <si>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</si>
  <si>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</si>
  <si>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</si>
  <si>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</si>
  <si>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</si>
  <si>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</si>
  <si>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</si>
  <si>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</si>
  <si>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</si>
  <si>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</si>
  <si>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</si>
  <si>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</si>
  <si>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</si>
  <si>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</si>
  <si>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</si>
  <si>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</si>
  <si>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</si>
  <si>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</si>
  <si>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</si>
  <si>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</si>
  <si>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</si>
  <si>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</si>
  <si>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</si>
  <si>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</si>
  <si>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</si>
  <si>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</si>
  <si>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</si>
  <si>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</si>
  <si>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</si>
  <si>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</si>
  <si>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</si>
  <si>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</si>
  <si>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</si>
  <si>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</si>
  <si>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</si>
  <si>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</si>
  <si>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</si>
  <si>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</si>
  <si>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</si>
  <si>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</si>
  <si>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</si>
  <si>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</si>
  <si>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</si>
  <si>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</si>
  <si>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</si>
  <si>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</si>
  <si>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</si>
  <si>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</si>
  <si>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</si>
  <si>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</si>
  <si>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</si>
  <si>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</si>
  <si>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</si>
  <si>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</si>
  <si>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</si>
  <si>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</si>
  <si>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</si>
  <si>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</si>
  <si>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</si>
  <si>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</si>
  <si>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</si>
  <si>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</si>
  <si>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</si>
  <si>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</si>
  <si>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</si>
  <si>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</si>
  <si>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</si>
  <si>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</si>
  <si>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</si>
  <si>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</si>
  <si>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</si>
  <si>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</si>
  <si>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</si>
  <si>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</si>
  <si>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</si>
  <si>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</si>
  <si>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</si>
  <si>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</si>
  <si>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</si>
  <si>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</si>
  <si>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</si>
  <si>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</si>
  <si>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</si>
  <si>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</si>
  <si>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</si>
  <si>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</si>
  <si>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</si>
  <si>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</si>
  <si>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</si>
  <si>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</si>
  <si>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</si>
  <si>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</si>
  <si>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</si>
  <si>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</si>
  <si>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</si>
  <si>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</si>
  <si>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</si>
  <si>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</si>
  <si>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</si>
  <si>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</si>
  <si>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</si>
  <si>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</si>
  <si>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</si>
  <si>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</si>
  <si>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</si>
  <si>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</si>
  <si>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</si>
  <si>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</si>
  <si>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</si>
  <si>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</si>
  <si>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</si>
  <si>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</si>
  <si>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</si>
  <si>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</si>
  <si>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</si>
  <si>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</si>
  <si>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</si>
  <si>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</si>
  <si>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</si>
  <si>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</si>
  <si>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</si>
  <si>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</si>
  <si>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</si>
  <si>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</si>
  <si>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</si>
  <si>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</si>
  <si>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</si>
  <si>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</si>
  <si>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</si>
  <si>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</si>
  <si>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</si>
  <si>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</si>
  <si>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</si>
  <si>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</si>
  <si>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</si>
  <si>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</si>
  <si>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</si>
  <si>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</si>
  <si>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</si>
  <si>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</si>
  <si>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</si>
  <si>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</si>
  <si>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</si>
  <si>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</si>
  <si>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</si>
  <si>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</si>
  <si>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</si>
  <si>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</si>
  <si>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</si>
  <si>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</si>
  <si>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</si>
  <si>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</si>
  <si>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</si>
  <si>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</si>
  <si>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</si>
  <si>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</si>
  <si>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</si>
  <si>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</si>
  <si>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</si>
  <si>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</si>
  <si>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</si>
  <si>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</si>
  <si>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</si>
  <si>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</si>
  <si>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</si>
  <si>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</si>
  <si>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</si>
  <si>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</si>
  <si>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</si>
  <si>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</si>
  <si>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</si>
  <si>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</si>
  <si>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</si>
  <si>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</si>
  <si>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</si>
  <si>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</si>
  <si>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</si>
  <si>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</si>
  <si>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</si>
  <si>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</si>
  <si>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</si>
  <si>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</si>
  <si>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</si>
  <si>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</si>
  <si>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</si>
  <si>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</si>
  <si>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ISLAS BALEARES</t>
  </si>
  <si>
    <t>Provincias</t>
  </si>
  <si>
    <t>ILLES BALEARS</t>
  </si>
  <si>
    <t>Resumenes por Partidos Judiciales</t>
  </si>
  <si>
    <t>INCA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</si>
</sst>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Xh3FFXfdxkTi39jo/f9j+DYkQ0S+u7L4sOWkJjVhhP6kbvj76MlA2ufJqxMfxVp952ht9/MQTE3Z8OPpcgq3g==" saltValue="iRIwwX3SQRDNfEjR363L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ISLAS BALEARES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26.556558682952733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84</v>
      </c>
      <c r="D10" s="239">
        <f>IF(ISNUMBER(Datos!I10),Datos!I10," - ")</f>
        <v>84</v>
      </c>
      <c r="E10" s="240">
        <f>IF(ISNUMBER(Datos!J10),Datos!J10," - ")</f>
        <v>27</v>
      </c>
      <c r="F10" s="240">
        <f>IF(ISNUMBER(Datos!K10),Datos!K10," - ")</f>
        <v>32</v>
      </c>
      <c r="G10" s="1390" t="str">
        <f>IF(Datos!E10&lt;&gt;"",Datos!E10,Datos!D10)</f>
        <v>37</v>
      </c>
      <c r="H10" s="241">
        <f>IF(ISNUMBER(Datos!L10),Datos!L10," - ")</f>
        <v>79</v>
      </c>
      <c r="I10" s="1400" t="str">
        <f>IF(ISNUMBER(Datos!AS10/Datos!BM10),Datos!AS10/Datos!BM10," - ")</f>
        <v xml:space="preserve"> - </v>
      </c>
      <c r="J10" s="1401">
        <f>IF(ISNUMBER(Datos!BY10/Datos!CN10),Datos!BY10/Datos!CN10," - ")</f>
        <v>0</v>
      </c>
      <c r="K10" s="244">
        <f t="shared" ref="K10:K13" si="1">IF(ISNUMBER((E10-F10)/C10),(E10-F10)/C10," - ")</f>
        <v>-5.9523809523809521E-2</v>
      </c>
      <c r="L10" s="1402">
        <f>IF(ISNUMBER(NºAsuntos!I10/NºAsuntos!G10),(NºAsuntos!I10/NºAsuntos!G10)*11," - ")</f>
        <v>27.15625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84</v>
      </c>
      <c r="D14" s="1407">
        <f>SUBTOTAL(9,D9:D13)</f>
        <v>84</v>
      </c>
      <c r="E14" s="1408">
        <f>SUBTOTAL(9,E9:E13)</f>
        <v>27</v>
      </c>
      <c r="F14" s="1409">
        <f>SUBTOTAL(9,F9:F13)</f>
        <v>32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2267</v>
      </c>
      <c r="D16" s="239">
        <f>IF(ISNUMBER(IF(D_I="SI",Datos!I16,Datos!I16+Datos!AC16)),IF(D_I="SI",Datos!I16,Datos!I16+Datos!AC16)," - ")</f>
        <v>2267</v>
      </c>
      <c r="E16" s="240">
        <f>IF(ISNUMBER(IF(D_I="SI",Datos!J16,Datos!J16+Datos!AD16)),IF(D_I="SI",Datos!J16,Datos!J16+Datos!AD16)," - ")</f>
        <v>1152</v>
      </c>
      <c r="F16" s="240">
        <f>IF(ISNUMBER(IF(D_I="SI",Datos!K16,Datos!K16+Datos!AE16)),IF(D_I="SI",Datos!K16,Datos!K16+Datos!AE16)," - ")</f>
        <v>1353</v>
      </c>
      <c r="G16" s="1390" t="str">
        <f>IF(Datos!E16&lt;&gt;"",Datos!E16,Datos!D16)</f>
        <v>03</v>
      </c>
      <c r="H16" s="241">
        <f>IF(ISNUMBER(IF(D_I="SI",Datos!L16,Datos!L16+Datos!AF16)),IF(D_I="SI",Datos!L16,Datos!L16+Datos!AF16)," - ")</f>
        <v>2066</v>
      </c>
      <c r="I16" s="1400" t="str">
        <f>IF(ISNUMBER(Datos!AS16/Datos!BM16),Datos!AS16/Datos!BM16," - ")</f>
        <v xml:space="preserve"> - </v>
      </c>
      <c r="J16" s="1401">
        <f>IF(ISNUMBER(Datos!BY16/Datos!CN16),Datos!BY16/Datos!CN16," - ")</f>
        <v>0</v>
      </c>
      <c r="K16" s="244">
        <f t="shared" ref="K16:K22" si="3">IF(ISNUMBER((E16-F16)/C16),(E16-F16)/C16," - ")</f>
        <v>-8.8663431848257604E-2</v>
      </c>
      <c r="L16" s="1402">
        <f>IF(ISNUMBER(NºAsuntos!I16/NºAsuntos!G16),(NºAsuntos!I16/NºAsuntos!G16)*11," - ")</f>
        <v>16.796747967479675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3</v>
      </c>
      <c r="D17" s="239">
        <f>IF(ISNUMBER(IF(D_I="SI",Datos!I17,Datos!I17+Datos!AC17)),IF(D_I="SI",Datos!I17,Datos!I17+Datos!AC17)," - ")</f>
        <v>3</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3</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172</v>
      </c>
      <c r="D18" s="239">
        <f>IF(ISNUMBER(IF(D_I="SI",Datos!I18,Datos!I18+Datos!AC18)),IF(D_I="SI",Datos!I18,Datos!I18+Datos!AC18)," - ")</f>
        <v>172</v>
      </c>
      <c r="E18" s="240">
        <f>IF(ISNUMBER(IF(D_I="SI",Datos!J18,Datos!J18+Datos!AD18)),IF(D_I="SI",Datos!J18,Datos!J18+Datos!AD18)," - ")</f>
        <v>168</v>
      </c>
      <c r="F18" s="240">
        <f>IF(ISNUMBER(IF(D_I="SI",Datos!K18,Datos!K18+Datos!AE18)),IF(D_I="SI",Datos!K18,Datos!K18+Datos!AE18)," - ")</f>
        <v>207</v>
      </c>
      <c r="G18" s="1390" t="str">
        <f>IF(Datos!E18&lt;&gt;"",Datos!E18,Datos!D18)</f>
        <v>37</v>
      </c>
      <c r="H18" s="241">
        <f>IF(ISNUMBER(IF(D_I="SI",Datos!L18,Datos!L18+Datos!AF18)),IF(D_I="SI",Datos!L18,Datos!L18+Datos!AF18)," - ")</f>
        <v>133</v>
      </c>
      <c r="I18" s="1400" t="str">
        <f>IF(ISNUMBER(Datos!AS18/Datos!BM18),Datos!AS18/Datos!BM18," - ")</f>
        <v xml:space="preserve"> - </v>
      </c>
      <c r="J18" s="1401" t="str">
        <f>IF(ISNUMBER((Datos!BY18+Datos!BZ18)/Datos!CN18),(Datos!BY18+Datos!BZ18)/Datos!CN18," - ")</f>
        <v xml:space="preserve"> - </v>
      </c>
      <c r="K18" s="244">
        <f t="shared" si="3"/>
        <v>-0.22674418604651161</v>
      </c>
      <c r="L18" s="1402">
        <f>IF(ISNUMBER(NºAsuntos!I18/NºAsuntos!G18),(NºAsuntos!I18/NºAsuntos!G18)*11," - ")</f>
        <v>7.0676328502415453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2442</v>
      </c>
      <c r="D23" s="1407">
        <f>SUBTOTAL(9,D16:D22)</f>
        <v>2442</v>
      </c>
      <c r="E23" s="1408">
        <f>SUBTOTAL(9,E16:E22)</f>
        <v>1320</v>
      </c>
      <c r="F23" s="1408">
        <f>SUBTOTAL(9,F16:F22)</f>
        <v>1560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2526</v>
      </c>
      <c r="D31" s="1435">
        <f>SUBTOTAL(9,D9:D30)</f>
        <v>2526</v>
      </c>
      <c r="E31" s="1436">
        <f>SUBTOTAL(9,E9:E30)</f>
        <v>1347</v>
      </c>
      <c r="F31" s="1436">
        <f>SUBTOTAL(9,F9:F30)</f>
        <v>1592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vGbvrpViJaLbQvbRNMnLsjSJ+MixHp3mAks2SknCEqoriBf5T8kLSCDu6GYQE2Ku+LM23FLa/BWiaLoDDgZkkQ==" saltValue="N4A6OyepwRpW1nWgI680v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Uu3k2khnrJbzKt5W7KQ7cHUm4mjg+rYuJwrNqAJK7zRdjgXC9Sa4+CpJJcl8fcNjnVnfNelNI+ZmwtstTYHqw==" saltValue="Z7MmMQR/+Twf9WbXU+r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5161</v>
      </c>
      <c r="J9" s="194">
        <v>934</v>
      </c>
      <c r="K9" s="194">
        <v>1767</v>
      </c>
      <c r="L9" s="194">
        <v>4388</v>
      </c>
      <c r="M9" s="194">
        <v>394</v>
      </c>
      <c r="N9" s="194">
        <v>852</v>
      </c>
      <c r="O9" s="194">
        <v>578</v>
      </c>
      <c r="P9" s="194">
        <v>150</v>
      </c>
      <c r="Q9" s="194">
        <v>421</v>
      </c>
      <c r="R9" s="194">
        <v>7640</v>
      </c>
      <c r="S9" s="194">
        <v>4610</v>
      </c>
      <c r="T9" s="194">
        <v>1390</v>
      </c>
      <c r="U9" s="194">
        <v>1366</v>
      </c>
      <c r="V9" s="194">
        <v>4644</v>
      </c>
      <c r="W9" s="194">
        <v>362</v>
      </c>
      <c r="X9" s="201">
        <v>686</v>
      </c>
      <c r="Y9" s="204">
        <v>208</v>
      </c>
      <c r="Z9" s="194">
        <v>76</v>
      </c>
      <c r="AA9" s="194">
        <v>116</v>
      </c>
      <c r="AB9" s="194">
        <v>158</v>
      </c>
      <c r="AC9" s="194">
        <v>0</v>
      </c>
      <c r="AD9" s="194">
        <v>0</v>
      </c>
      <c r="AE9" s="194">
        <v>0</v>
      </c>
      <c r="AF9" s="201">
        <v>0</v>
      </c>
      <c r="AG9" s="204">
        <v>152</v>
      </c>
      <c r="AH9" s="194">
        <v>105</v>
      </c>
      <c r="AI9" s="194">
        <v>98</v>
      </c>
      <c r="AJ9" s="205">
        <v>159</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4762</v>
      </c>
      <c r="AZ9" s="133">
        <f>IF(ISNUMBER(IF(J_V="SI",T9,T9+AH9)),IF(J_V="SI",T9,T9+AH9)," - ")</f>
        <v>1495</v>
      </c>
      <c r="BA9" s="134">
        <f>IF(ISNUMBER(IF(J_V="SI",U9,U9+AI9)),IF(J_V="SI",U9,U9+AI9)," - ")</f>
        <v>1464</v>
      </c>
      <c r="BB9" s="134">
        <f>IF(ISNUMBER(IF(J_V="SI",V9,V9+AJ9)),IF(J_V="SI",V9,V9+AJ9)," - ")</f>
        <v>4803</v>
      </c>
      <c r="BC9" s="135">
        <f>IF(ISNUMBER(X9),X9," - ")</f>
        <v>686</v>
      </c>
      <c r="BD9" s="136">
        <f>IF(ISNUMBER(BA9/AZ9),BA9/AZ9," - ")</f>
        <v>0.97926421404682273</v>
      </c>
      <c r="BE9" s="137">
        <f>IF(ISNUMBER(BB9/BA9),BB9/BA9, " - ")</f>
        <v>3.2807377049180326</v>
      </c>
      <c r="BF9" s="137">
        <f>IF(ISNUMBER(BC9/BA9),BC9/BA9, " - ")</f>
        <v>0.46857923497267762</v>
      </c>
      <c r="BG9" s="209">
        <f>IF(ISNUMBER((AY9+AZ9)/BA9),(AY9+AZ9)/BA9," - ")</f>
        <v>4.2739071038251364</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84</v>
      </c>
      <c r="J10" s="194">
        <v>27</v>
      </c>
      <c r="K10" s="194">
        <v>32</v>
      </c>
      <c r="L10" s="194">
        <v>79</v>
      </c>
      <c r="M10" s="194">
        <v>11</v>
      </c>
      <c r="N10" s="194">
        <v>13</v>
      </c>
      <c r="O10" s="194">
        <v>1</v>
      </c>
      <c r="P10" s="194">
        <v>3</v>
      </c>
      <c r="Q10" s="194">
        <v>0</v>
      </c>
      <c r="R10" s="194">
        <v>32</v>
      </c>
      <c r="S10" s="194">
        <v>78</v>
      </c>
      <c r="T10" s="194">
        <v>27</v>
      </c>
      <c r="U10" s="194">
        <v>25</v>
      </c>
      <c r="V10" s="194">
        <v>80</v>
      </c>
      <c r="W10" s="194">
        <v>11</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1058</v>
      </c>
      <c r="AT10" s="205"/>
      <c r="AU10" s="213"/>
      <c r="AV10" s="205"/>
      <c r="AW10" s="213"/>
      <c r="AX10" s="205"/>
      <c r="AY10" s="138">
        <f t="shared" ref="AY10:BC10" si="0">IF(ISNUMBER(S10),S10," - ")</f>
        <v>78</v>
      </c>
      <c r="AZ10" s="139">
        <f t="shared" si="0"/>
        <v>27</v>
      </c>
      <c r="BA10" s="139">
        <f t="shared" si="0"/>
        <v>25</v>
      </c>
      <c r="BB10" s="139">
        <f t="shared" si="0"/>
        <v>80</v>
      </c>
      <c r="BC10" s="135">
        <f t="shared" si="0"/>
        <v>11</v>
      </c>
      <c r="BD10" s="136">
        <f>IF(ISNUMBER(BA10/AZ10),BA10/AZ10," - ")</f>
        <v>0.92592592592592593</v>
      </c>
      <c r="BE10" s="137">
        <f>IF(ISNUMBER(BB10/BA10),BB10/BA10, " - ")</f>
        <v>3.2</v>
      </c>
      <c r="BF10" s="137">
        <f>IF(ISNUMBER(BC10/BA10),BC10/BA10, " - ")</f>
        <v>0.44</v>
      </c>
      <c r="BG10" s="209">
        <f>IF(ISNUMBER((AY10+AZ10)/BA10),(AY10+AZ10)/BA10," - ")</f>
        <v>4.2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1073</v>
      </c>
      <c r="J12" s="196" t="s">
        <v>1065</v>
      </c>
      <c r="K12" s="196" t="s">
        <v>1127</v>
      </c>
      <c r="L12" s="196" t="s">
        <v>1078</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5245</v>
      </c>
      <c r="J14" s="197">
        <f t="shared" si="7"/>
        <v>961</v>
      </c>
      <c r="K14" s="197">
        <f t="shared" si="7"/>
        <v>1799</v>
      </c>
      <c r="L14" s="197">
        <f t="shared" si="7"/>
        <v>4467</v>
      </c>
      <c r="M14" s="197">
        <f t="shared" si="7"/>
        <v>405</v>
      </c>
      <c r="N14" s="197">
        <f t="shared" si="7"/>
        <v>865</v>
      </c>
      <c r="O14" s="197">
        <f t="shared" si="7"/>
        <v>579</v>
      </c>
      <c r="P14" s="197">
        <f t="shared" si="7"/>
        <v>153</v>
      </c>
      <c r="Q14" s="197">
        <f t="shared" si="7"/>
        <v>421</v>
      </c>
      <c r="R14" s="197">
        <f t="shared" si="7"/>
        <v>7672</v>
      </c>
      <c r="S14" s="197">
        <f t="shared" si="7"/>
        <v>4688</v>
      </c>
      <c r="T14" s="197">
        <f t="shared" si="7"/>
        <v>1417</v>
      </c>
      <c r="U14" s="197">
        <f t="shared" si="7"/>
        <v>1391</v>
      </c>
      <c r="V14" s="197">
        <f t="shared" si="7"/>
        <v>4724</v>
      </c>
      <c r="W14" s="197">
        <f t="shared" si="7"/>
        <v>373</v>
      </c>
      <c r="X14" s="197">
        <f t="shared" si="7"/>
        <v>689</v>
      </c>
      <c r="Y14" s="197">
        <f t="shared" si="7"/>
        <v>208</v>
      </c>
      <c r="Z14" s="197">
        <f t="shared" si="7"/>
        <v>76</v>
      </c>
      <c r="AA14" s="197">
        <f t="shared" si="7"/>
        <v>116</v>
      </c>
      <c r="AB14" s="197">
        <f t="shared" si="7"/>
        <v>158</v>
      </c>
      <c r="AC14" s="197">
        <f t="shared" si="7"/>
        <v>0</v>
      </c>
      <c r="AD14" s="197">
        <f t="shared" si="7"/>
        <v>0</v>
      </c>
      <c r="AE14" s="197">
        <f t="shared" si="7"/>
        <v>0</v>
      </c>
      <c r="AF14" s="197">
        <f>SUBTOTAL(9,AF9:AF13)</f>
        <v>0</v>
      </c>
      <c r="AG14" s="197">
        <f t="shared" ref="AG14:AT14" si="8">SUBTOTAL(9,AG8:AG13)</f>
        <v>152</v>
      </c>
      <c r="AH14" s="197">
        <f t="shared" si="8"/>
        <v>105</v>
      </c>
      <c r="AI14" s="197">
        <f t="shared" si="8"/>
        <v>98</v>
      </c>
      <c r="AJ14" s="197">
        <f t="shared" si="8"/>
        <v>159</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4840</v>
      </c>
      <c r="AZ14" s="197">
        <f>SUBTOTAL(9,AZ8:AZ13)</f>
        <v>1522</v>
      </c>
      <c r="BA14" s="197">
        <f>SUBTOTAL(9,BA8:BA13)</f>
        <v>1489</v>
      </c>
      <c r="BB14" s="197">
        <f>SUBTOTAL(9,BB8:BB13)</f>
        <v>4883</v>
      </c>
      <c r="BC14" s="197">
        <f>SUBTOTAL(9,BC8:BC13)</f>
        <v>697</v>
      </c>
      <c r="BD14" s="219">
        <f>IF(ISNUMBER(BA14/AZ14),BA14/AZ14," - ")</f>
        <v>0.97831800262812085</v>
      </c>
      <c r="BE14" s="220">
        <f>IF(ISNUMBER(BB14/BA14),BB14/BA14, " - ")</f>
        <v>3.2793821356615176</v>
      </c>
      <c r="BF14" s="220">
        <f>IF(ISNUMBER(BC14/BA14),BC14/BA14, " - ")</f>
        <v>0.46809939556749497</v>
      </c>
      <c r="BG14" s="221">
        <f>IF(ISNUMBER((AY14+AZ14)/BA14),(AY14+AZ14)/BA14," - ")</f>
        <v>4.2726662189388849</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2267</v>
      </c>
      <c r="J16" s="196">
        <v>1152</v>
      </c>
      <c r="K16" s="196">
        <v>1353</v>
      </c>
      <c r="L16" s="196">
        <v>2066</v>
      </c>
      <c r="M16" s="196">
        <v>176</v>
      </c>
      <c r="N16" s="196">
        <v>848</v>
      </c>
      <c r="O16" s="194">
        <v>31</v>
      </c>
      <c r="P16" s="196">
        <v>50</v>
      </c>
      <c r="Q16" s="196">
        <v>35</v>
      </c>
      <c r="R16" s="196">
        <v>263</v>
      </c>
      <c r="S16" s="196">
        <v>2155</v>
      </c>
      <c r="T16" s="196">
        <v>1318</v>
      </c>
      <c r="U16" s="196">
        <v>1452</v>
      </c>
      <c r="V16" s="196">
        <v>2021</v>
      </c>
      <c r="W16" s="196">
        <v>164</v>
      </c>
      <c r="X16" s="202">
        <v>882</v>
      </c>
      <c r="Y16" s="215">
        <v>0</v>
      </c>
      <c r="Z16" s="196">
        <v>0</v>
      </c>
      <c r="AA16" s="196">
        <v>0</v>
      </c>
      <c r="AB16" s="196">
        <v>0</v>
      </c>
      <c r="AC16" s="196">
        <v>0</v>
      </c>
      <c r="AD16" s="196">
        <v>15</v>
      </c>
      <c r="AE16" s="196">
        <v>15</v>
      </c>
      <c r="AF16" s="202">
        <v>0</v>
      </c>
      <c r="AG16" s="215">
        <v>0</v>
      </c>
      <c r="AH16" s="196">
        <v>0</v>
      </c>
      <c r="AI16" s="196">
        <v>0</v>
      </c>
      <c r="AJ16" s="216">
        <v>0</v>
      </c>
      <c r="AK16" s="195">
        <v>0</v>
      </c>
      <c r="AL16" s="196">
        <v>18</v>
      </c>
      <c r="AM16" s="196">
        <v>18</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2155</v>
      </c>
      <c r="AZ16" s="139">
        <f t="shared" si="10"/>
        <v>1318</v>
      </c>
      <c r="BA16" s="139">
        <f t="shared" si="10"/>
        <v>1452</v>
      </c>
      <c r="BB16" s="139">
        <f t="shared" si="10"/>
        <v>2021</v>
      </c>
      <c r="BC16" s="135">
        <f>IF(ISNUMBER(W16),W16," - ")</f>
        <v>164</v>
      </c>
      <c r="BD16" s="136">
        <f>IF(ISNUMBER(BA16/AZ16),BA16/AZ16," - ")</f>
        <v>1.1016691957511382</v>
      </c>
      <c r="BE16" s="137">
        <f>IF(ISNUMBER(BB16/BA16),BB16/BA16, " - ")</f>
        <v>1.3918732782369145</v>
      </c>
      <c r="BF16" s="137">
        <f>IF(ISNUMBER(BC16/BA16),BC16/BA16, " - ")</f>
        <v>0.11294765840220386</v>
      </c>
      <c r="BG16" s="209">
        <f t="shared" ref="BG16:BG22" si="11">IF(ISNUMBER((AY16+AZ16)/BA16),(AY16+AZ16)/BA16," - ")</f>
        <v>2.3918732782369148</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v>
      </c>
      <c r="J17" s="196">
        <v>0</v>
      </c>
      <c r="K17" s="196">
        <v>0</v>
      </c>
      <c r="L17" s="196">
        <v>3</v>
      </c>
      <c r="M17" s="196">
        <v>0</v>
      </c>
      <c r="N17" s="196">
        <v>0</v>
      </c>
      <c r="O17" s="194">
        <v>0</v>
      </c>
      <c r="P17" s="196">
        <v>0</v>
      </c>
      <c r="Q17" s="196">
        <v>0</v>
      </c>
      <c r="R17" s="196">
        <v>2</v>
      </c>
      <c r="S17" s="196">
        <v>7</v>
      </c>
      <c r="T17" s="196">
        <v>0</v>
      </c>
      <c r="U17" s="196">
        <v>1</v>
      </c>
      <c r="V17" s="196">
        <v>6</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7</v>
      </c>
      <c r="AZ17" s="137">
        <f t="shared" si="10"/>
        <v>0</v>
      </c>
      <c r="BA17" s="137">
        <f t="shared" si="10"/>
        <v>1</v>
      </c>
      <c r="BB17" s="137">
        <f t="shared" si="10"/>
        <v>6</v>
      </c>
      <c r="BC17" s="135">
        <f>IF(ISNUMBER(W17),W17," - ")</f>
        <v>0</v>
      </c>
      <c r="BD17" s="136" t="str">
        <f t="shared" ref="BD17:BD22" si="12">IF(ISNUMBER(BA17/AZ17),BA17/AZ17," - ")</f>
        <v xml:space="preserve"> - </v>
      </c>
      <c r="BE17" s="137">
        <f t="shared" ref="BE17:BE22" si="13">IF(ISNUMBER(BB17/BA17),BB17/BA17, " - ")</f>
        <v>6</v>
      </c>
      <c r="BF17" s="137">
        <f t="shared" ref="BF17:BF22" si="14">IF(ISNUMBER(BC17/BA17),BC17/BA17, " - ")</f>
        <v>0</v>
      </c>
      <c r="BG17" s="209">
        <f t="shared" si="11"/>
        <v>7</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172</v>
      </c>
      <c r="J18" s="196">
        <v>168</v>
      </c>
      <c r="K18" s="196">
        <v>207</v>
      </c>
      <c r="L18" s="196">
        <v>133</v>
      </c>
      <c r="M18" s="196">
        <v>64</v>
      </c>
      <c r="N18" s="196">
        <v>79</v>
      </c>
      <c r="O18" s="196">
        <v>0</v>
      </c>
      <c r="P18" s="196">
        <v>4</v>
      </c>
      <c r="Q18" s="196">
        <v>2</v>
      </c>
      <c r="R18" s="196">
        <v>4</v>
      </c>
      <c r="S18" s="196">
        <v>207</v>
      </c>
      <c r="T18" s="196">
        <v>170</v>
      </c>
      <c r="U18" s="196">
        <v>211</v>
      </c>
      <c r="V18" s="196">
        <v>166</v>
      </c>
      <c r="W18" s="196">
        <v>45</v>
      </c>
      <c r="X18" s="202">
        <v>84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1057</v>
      </c>
      <c r="AT18" s="223"/>
      <c r="AU18" s="213"/>
      <c r="AV18" s="223"/>
      <c r="AW18" s="213"/>
      <c r="AX18" s="223"/>
      <c r="AY18" s="138">
        <f t="shared" ref="AY18:BB19" si="15">IF(ISNUMBER(S18),S18," - ")</f>
        <v>207</v>
      </c>
      <c r="AZ18" s="139">
        <f t="shared" si="15"/>
        <v>170</v>
      </c>
      <c r="BA18" s="139">
        <f t="shared" si="15"/>
        <v>211</v>
      </c>
      <c r="BB18" s="139">
        <f t="shared" si="15"/>
        <v>166</v>
      </c>
      <c r="BC18" s="135">
        <f>IF(ISNUMBER(W18),W18," - ")</f>
        <v>45</v>
      </c>
      <c r="BD18" s="136">
        <f>IF(ISNUMBER(BA18/AZ18),BA18/AZ18," - ")</f>
        <v>1.2411764705882353</v>
      </c>
      <c r="BE18" s="137">
        <f>IF(ISNUMBER(BB18/BA18),BB18/BA18, " - ")</f>
        <v>0.78672985781990523</v>
      </c>
      <c r="BF18" s="137">
        <f>IF(ISNUMBER(BC18/BA18),BC18/BA18, " - ")</f>
        <v>0.2132701421800948</v>
      </c>
      <c r="BG18" s="209">
        <f>IF(ISNUMBER((AY18+AZ18)/BA18),(AY18+AZ18)/BA18," - ")</f>
        <v>1.7867298578199051</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2442</v>
      </c>
      <c r="J23" s="197">
        <f t="shared" si="21"/>
        <v>1320</v>
      </c>
      <c r="K23" s="197">
        <f t="shared" si="21"/>
        <v>1560</v>
      </c>
      <c r="L23" s="197">
        <f t="shared" si="21"/>
        <v>2202</v>
      </c>
      <c r="M23" s="197">
        <f t="shared" si="21"/>
        <v>240</v>
      </c>
      <c r="N23" s="197">
        <f t="shared" si="21"/>
        <v>927</v>
      </c>
      <c r="O23" s="197">
        <f t="shared" si="21"/>
        <v>31</v>
      </c>
      <c r="P23" s="197">
        <f t="shared" si="21"/>
        <v>54</v>
      </c>
      <c r="Q23" s="197">
        <f t="shared" si="21"/>
        <v>37</v>
      </c>
      <c r="R23" s="197">
        <f t="shared" si="21"/>
        <v>269</v>
      </c>
      <c r="S23" s="197">
        <f t="shared" si="21"/>
        <v>2369</v>
      </c>
      <c r="T23" s="197">
        <f t="shared" si="21"/>
        <v>1488</v>
      </c>
      <c r="U23" s="197">
        <f t="shared" si="21"/>
        <v>1664</v>
      </c>
      <c r="V23" s="197">
        <f t="shared" si="21"/>
        <v>2193</v>
      </c>
      <c r="W23" s="197">
        <f t="shared" si="21"/>
        <v>209</v>
      </c>
      <c r="X23" s="197">
        <f t="shared" si="21"/>
        <v>966</v>
      </c>
      <c r="Y23" s="197">
        <f t="shared" si="21"/>
        <v>0</v>
      </c>
      <c r="Z23" s="197">
        <f t="shared" si="21"/>
        <v>0</v>
      </c>
      <c r="AA23" s="197">
        <f t="shared" si="21"/>
        <v>0</v>
      </c>
      <c r="AB23" s="197">
        <f t="shared" si="21"/>
        <v>0</v>
      </c>
      <c r="AC23" s="197">
        <f t="shared" si="21"/>
        <v>0</v>
      </c>
      <c r="AD23" s="197">
        <f t="shared" si="21"/>
        <v>15</v>
      </c>
      <c r="AE23" s="197">
        <f t="shared" si="21"/>
        <v>15</v>
      </c>
      <c r="AF23" s="197">
        <f t="shared" si="21"/>
        <v>0</v>
      </c>
      <c r="AG23" s="197">
        <f t="shared" si="21"/>
        <v>0</v>
      </c>
      <c r="AH23" s="197">
        <f t="shared" si="21"/>
        <v>0</v>
      </c>
      <c r="AI23" s="197">
        <f t="shared" si="21"/>
        <v>0</v>
      </c>
      <c r="AJ23" s="197">
        <f t="shared" si="21"/>
        <v>0</v>
      </c>
      <c r="AK23" s="197">
        <f t="shared" si="21"/>
        <v>0</v>
      </c>
      <c r="AL23" s="197">
        <f t="shared" si="21"/>
        <v>18</v>
      </c>
      <c r="AM23" s="197">
        <f t="shared" si="21"/>
        <v>18</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2369</v>
      </c>
      <c r="AZ23" s="197">
        <f>SUBTOTAL(9,AZ15:AZ22)</f>
        <v>1488</v>
      </c>
      <c r="BA23" s="197">
        <f>SUBTOTAL(9,BA15:BA22)</f>
        <v>1664</v>
      </c>
      <c r="BB23" s="197">
        <f>SUBTOTAL(9,BB15:BB22)</f>
        <v>2193</v>
      </c>
      <c r="BC23" s="197">
        <f>SUBTOTAL(9,BC15:BC22)</f>
        <v>209</v>
      </c>
      <c r="BD23" s="219">
        <f>IF(ISNUMBER(BA23/AZ23),BA23/AZ23," - ")</f>
        <v>1.118279569892473</v>
      </c>
      <c r="BE23" s="220">
        <f>IF(ISNUMBER(BB23/BA23),BB23/BA23, " - ")</f>
        <v>1.3179086538461537</v>
      </c>
      <c r="BF23" s="220">
        <f>IF(ISNUMBER(BC23/BA23),BC23/BA23, " - ")</f>
        <v>0.12560096153846154</v>
      </c>
      <c r="BG23" s="221">
        <f>IF(ISNUMBER((AY23+AZ23)/BA23),(AY23+AZ23)/BA23," - ")</f>
        <v>2.3179086538461537</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7687</v>
      </c>
      <c r="J31" s="144">
        <f t="shared" si="36"/>
        <v>2281</v>
      </c>
      <c r="K31" s="144">
        <f t="shared" si="36"/>
        <v>3359</v>
      </c>
      <c r="L31" s="144">
        <f t="shared" si="36"/>
        <v>6669</v>
      </c>
      <c r="M31" s="144">
        <f t="shared" si="36"/>
        <v>645</v>
      </c>
      <c r="N31" s="144">
        <f t="shared" si="36"/>
        <v>1792</v>
      </c>
      <c r="O31" s="144">
        <f t="shared" si="36"/>
        <v>610</v>
      </c>
      <c r="P31" s="144">
        <f t="shared" si="36"/>
        <v>207</v>
      </c>
      <c r="Q31" s="144">
        <f t="shared" si="36"/>
        <v>458</v>
      </c>
      <c r="R31" s="144">
        <f t="shared" si="36"/>
        <v>7941</v>
      </c>
      <c r="S31" s="144">
        <f t="shared" si="36"/>
        <v>7057</v>
      </c>
      <c r="T31" s="144">
        <f t="shared" si="36"/>
        <v>2905</v>
      </c>
      <c r="U31" s="144">
        <f t="shared" si="36"/>
        <v>3055</v>
      </c>
      <c r="V31" s="144">
        <f t="shared" si="36"/>
        <v>6917</v>
      </c>
      <c r="W31" s="144">
        <f t="shared" si="36"/>
        <v>582</v>
      </c>
      <c r="X31" s="144">
        <f t="shared" si="36"/>
        <v>1655</v>
      </c>
      <c r="Y31" s="144">
        <f t="shared" si="36"/>
        <v>208</v>
      </c>
      <c r="Z31" s="144">
        <f t="shared" si="36"/>
        <v>76</v>
      </c>
      <c r="AA31" s="144">
        <f t="shared" si="36"/>
        <v>116</v>
      </c>
      <c r="AB31" s="144">
        <f t="shared" si="36"/>
        <v>158</v>
      </c>
      <c r="AC31" s="144">
        <f t="shared" si="36"/>
        <v>0</v>
      </c>
      <c r="AD31" s="144">
        <f t="shared" si="36"/>
        <v>15</v>
      </c>
      <c r="AE31" s="144">
        <f t="shared" si="36"/>
        <v>15</v>
      </c>
      <c r="AF31" s="144">
        <f t="shared" si="36"/>
        <v>0</v>
      </c>
      <c r="AG31" s="144">
        <f t="shared" si="36"/>
        <v>152</v>
      </c>
      <c r="AH31" s="144">
        <f t="shared" si="36"/>
        <v>105</v>
      </c>
      <c r="AI31" s="144">
        <f t="shared" si="36"/>
        <v>98</v>
      </c>
      <c r="AJ31" s="144">
        <f t="shared" si="36"/>
        <v>159</v>
      </c>
      <c r="AK31" s="144">
        <f t="shared" si="36"/>
        <v>0</v>
      </c>
      <c r="AL31" s="144">
        <f t="shared" si="36"/>
        <v>18</v>
      </c>
      <c r="AM31" s="144">
        <f t="shared" si="36"/>
        <v>18</v>
      </c>
      <c r="AN31" s="224">
        <f t="shared" si="36"/>
        <v>0</v>
      </c>
      <c r="AO31" s="225">
        <v>9</v>
      </c>
      <c r="AP31" s="225">
        <v>8</v>
      </c>
      <c r="AQ31" s="225">
        <v>8</v>
      </c>
      <c r="AR31" s="225">
        <v>8</v>
      </c>
      <c r="AS31" s="166">
        <f t="shared" si="36"/>
        <v>0</v>
      </c>
      <c r="AT31" s="166">
        <f t="shared" si="36"/>
        <v>0</v>
      </c>
      <c r="AU31" s="225"/>
      <c r="AV31" s="226"/>
      <c r="AW31" s="225"/>
      <c r="AX31" s="226"/>
      <c r="AY31" s="143">
        <f>SUBTOTAL(9,AY9:AY30)</f>
        <v>7209</v>
      </c>
      <c r="AZ31" s="144">
        <f>SUBTOTAL(9,AZ9:AZ30)</f>
        <v>3010</v>
      </c>
      <c r="BA31" s="144">
        <f>SUBTOTAL(9,BA9:BA30)</f>
        <v>3153</v>
      </c>
      <c r="BB31" s="144">
        <f>SUBTOTAL(9,BB9:BB30)</f>
        <v>7076</v>
      </c>
      <c r="BC31" s="145">
        <f>SUBTOTAL(9,BC9:BC30)</f>
        <v>906</v>
      </c>
      <c r="BD31" s="227">
        <f>IF(ISNUMBER(BA31/AZ31),BA31/AZ31," - ")</f>
        <v>1.0475083056478405</v>
      </c>
      <c r="BE31" s="224">
        <f>IF(ISNUMBER(BB31/BA31),BB31/BA31, " - ")</f>
        <v>2.2442118617189979</v>
      </c>
      <c r="BF31" s="224">
        <f>IF(ISNUMBER(BC31/BA31),BC31/BA31, " - ")</f>
        <v>0.28734538534728832</v>
      </c>
      <c r="BG31" s="145">
        <f>IF(ISNUMBER((AY31+AZ31)/BA31),(AY31+AZ31)/BA31," - ")</f>
        <v>3.2410402790992707</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uP1w9sXZ16hJitBixf83LLNiroU8G3wvNQzR1ESVmfWZcXykf/41ySHvIHzs6Fr4IjwGtGXLHOEg52oKo1wgg==" saltValue="Iu4GkV9dWgx1D3cgAS3F1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ut90imq03g4ksCVVHM41UxhSzSpkrJh6GiYjxWw1Qpgd/Szh2Zq9yu+IeMv5k9eT2g6i4je2LKBZ/1B+Worgg==" saltValue="eT21/8AHs2Tmc9Kt3IrJ9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INCA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76</v>
      </c>
      <c r="O9" s="549"/>
      <c r="P9" s="549"/>
      <c r="Q9" s="547">
        <f>IF(ISNUMBER(Datos!P9),Datos!P9,0)</f>
        <v>150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421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158</v>
      </c>
      <c r="AI9" s="549" t="str">
        <f>IF(ISNUMBER(Datos!CD9),Datos!CD9,"-")</f>
        <v>-</v>
      </c>
      <c r="AJ9" s="549" t="str">
        <f>IF(ISNUMBER(Datos!EN9),Datos!EN9," - ")</f>
        <v xml:space="preserve"> - </v>
      </c>
      <c r="AK9" s="549"/>
      <c r="AL9" s="550"/>
      <c r="AM9" s="766">
        <f>IF(ISNUMBER(Datos!R9),Datos!R9," - ")</f>
        <v>7640</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394</v>
      </c>
      <c r="BD9" s="693">
        <f>IF(ISNUMBER(Datos!N9),Datos!N9," - ")</f>
        <v>852</v>
      </c>
      <c r="BE9" s="693" t="str">
        <f>IF(ISNUMBER(Datos!BW9),Datos!BW9," - ")</f>
        <v xml:space="preserve"> - </v>
      </c>
      <c r="BF9" s="762" t="str">
        <f>IF(ISNUMBER(Datos!BX9),Datos!BX9," - ")</f>
        <v xml:space="preserve"> - </v>
      </c>
      <c r="BG9" s="763">
        <f>IF(ISNUMBER(IF(J_V="SI",Datos!K9/Datos!J9,(Datos!K9+Datos!AA9)/(Datos!J9+Datos!Z9))),IF(J_V="SI",Datos!K9/Datos!J9,(Datos!K9+Datos!AA9)/(Datos!J9+Datos!Z9))," - ")</f>
        <v>1.8643564356435645</v>
      </c>
      <c r="BH9" s="764">
        <f>IF(ISNUMBER(((IF(J_V="SI",Datos!L9/Datos!K9,(Datos!L9+Datos!AB9)/(Datos!K9+Datos!AA9)))*11)/factor_trimestre),((IF(J_V="SI",Datos!L9/Datos!K9,(Datos!L9+Datos!AB9)/(Datos!K9+Datos!AA9)))*11)/factor_trimestre," - ")</f>
        <v>7.2426978226234731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-3.4256099102515487E-2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84</v>
      </c>
      <c r="G10" s="543">
        <f>IF(ISNUMBER(Datos!I10),Datos!I10," - ")</f>
        <v>84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32</v>
      </c>
      <c r="AC10" s="547">
        <f>IF(ISNUMBER(Datos!Q10),Datos!Q10," - ")</f>
        <v>0</v>
      </c>
      <c r="AD10" s="549"/>
      <c r="AE10" s="563"/>
      <c r="AF10" s="551">
        <f>IF(ISNUMBER(Datos!L10),Datos!L10,"-")</f>
        <v>79</v>
      </c>
      <c r="AG10" s="549"/>
      <c r="AH10" s="549"/>
      <c r="AI10" s="549"/>
      <c r="AJ10" s="549"/>
      <c r="AK10" s="549"/>
      <c r="AL10" s="550"/>
      <c r="AM10" s="766">
        <f>IF(ISNUMBER(Datos!R10),Datos!R10," - ")</f>
        <v>32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13</v>
      </c>
      <c r="BE10" s="693" t="str">
        <f>IF(ISNUMBER(Datos!BW10),Datos!BW10," - ")</f>
        <v xml:space="preserve"> - </v>
      </c>
      <c r="BF10" s="762" t="str">
        <f>IF(ISNUMBER(Datos!BX10),Datos!BX10," - ")</f>
        <v xml:space="preserve"> - </v>
      </c>
      <c r="BG10" s="763">
        <f>IF(ISNUMBER(Datos!K10/Datos!J10),Datos!K10/Datos!J10," - ")</f>
        <v>1.1851851851851851</v>
      </c>
      <c r="BH10" s="764">
        <f>IF(ISNUMBER(((Datos!L10/Datos!K10)*11)/factor_trimestre),((Datos!L10/Datos!K10)*11)/factor_trimestre," - ")</f>
        <v>7.40625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0.10344827586206896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84</v>
      </c>
      <c r="G14" s="1197">
        <f t="shared" si="1"/>
        <v>84</v>
      </c>
      <c r="H14" s="1198">
        <f t="shared" si="1"/>
        <v>0</v>
      </c>
      <c r="I14" s="1197">
        <f t="shared" si="1"/>
        <v>0</v>
      </c>
      <c r="J14" s="1164">
        <f t="shared" si="1"/>
        <v>0</v>
      </c>
      <c r="K14" s="1164">
        <f t="shared" si="1"/>
        <v>0</v>
      </c>
      <c r="L14" s="1198">
        <f t="shared" si="1"/>
        <v>0</v>
      </c>
      <c r="M14" s="1198">
        <f t="shared" si="1"/>
        <v>0</v>
      </c>
      <c r="N14" s="1198">
        <f t="shared" si="1"/>
        <v>76</v>
      </c>
      <c r="O14" s="1199">
        <f t="shared" si="1"/>
        <v>0</v>
      </c>
      <c r="P14" s="1199">
        <f t="shared" si="1"/>
        <v>0</v>
      </c>
      <c r="Q14" s="1198">
        <f t="shared" si="1"/>
        <v>153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32</v>
      </c>
      <c r="AC14" s="1198">
        <f t="shared" si="2"/>
        <v>421</v>
      </c>
      <c r="AD14" s="1198">
        <f t="shared" si="2"/>
        <v>0</v>
      </c>
      <c r="AE14" s="1198">
        <f t="shared" si="2"/>
        <v>0</v>
      </c>
      <c r="AF14" s="1198">
        <f t="shared" si="2"/>
        <v>79</v>
      </c>
      <c r="AG14" s="1198">
        <f t="shared" si="2"/>
        <v>0</v>
      </c>
      <c r="AH14" s="1198">
        <f t="shared" si="2"/>
        <v>158</v>
      </c>
      <c r="AI14" s="1198">
        <f t="shared" si="2"/>
        <v>0</v>
      </c>
      <c r="AJ14" s="1198">
        <f t="shared" si="2"/>
        <v>0</v>
      </c>
      <c r="AK14" s="1198">
        <f t="shared" si="2"/>
        <v>0</v>
      </c>
      <c r="AL14" s="1198">
        <f t="shared" si="2"/>
        <v>0</v>
      </c>
      <c r="AM14" s="1198">
        <f t="shared" si="2"/>
        <v>7672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405</v>
      </c>
      <c r="BD14" s="1198">
        <f t="shared" si="2"/>
        <v>865</v>
      </c>
      <c r="BE14" s="1198">
        <f t="shared" si="2"/>
        <v>0</v>
      </c>
      <c r="BF14" s="1198">
        <f t="shared" si="2"/>
        <v>0</v>
      </c>
      <c r="BG14" s="1198">
        <f>IF(ISNUMBER(Datos!K14/Datos!J14),Datos!K14/Datos!J14," - ")</f>
        <v>1.8720083246618107</v>
      </c>
      <c r="BH14" s="1202">
        <f>IF(ISNUMBER(((Datos!L14/Datos!K14)*11)/factor_trimestre),((Datos!L14/Datos!K14)*11)/factor_trimestre," - ")</f>
        <v>7.4491384102279046</v>
      </c>
      <c r="BI14" s="1198">
        <f>IF(ISNUMBER('Resol  Asuntos'!D14/NºAsuntos!G14),'Resol  Asuntos'!D14/NºAsuntos!G14," - ")</f>
        <v>0.21148825065274152</v>
      </c>
      <c r="BJ14" s="1198" t="str">
        <f>IF(ISNUMBER(Datos!CI14/Datos!CJ14),Datos!CI14/Datos!CJ14," - ")</f>
        <v xml:space="preserve"> - </v>
      </c>
      <c r="BK14" s="1198">
        <f>SUBTOTAL(9,BK8:BK13)</f>
        <v>0</v>
      </c>
      <c r="BL14" s="1198">
        <f>IF(ISNUMBER((I14-AB14+L14)/(F14)),(I14-AB14+L14)/(F14)," - ")</f>
        <v>-0.38095238095238093</v>
      </c>
      <c r="BM14" s="1203">
        <f>SUBTOTAL(9,BM9:BM13)</f>
        <v>6.919217675955347E-2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2267</v>
      </c>
      <c r="G16" s="743">
        <f>IF(ISNUMBER(IF(D_I="SI",Datos!I16,Datos!I16+Datos!AC16)),IF(D_I="SI",Datos!I16,Datos!I16+Datos!AC16)," - ")</f>
        <v>2267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50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1353</v>
      </c>
      <c r="AC16" s="240">
        <f>IF(ISNUMBER(Datos!Q16),Datos!Q16," - ")</f>
        <v>35</v>
      </c>
      <c r="AD16" s="374"/>
      <c r="AE16" s="562"/>
      <c r="AF16" s="741">
        <f>IF(ISNUMBER(IF(D_I="SI",Datos!L16,Datos!L16+Datos!AF16)),IF(D_I="SI",Datos!L16,Datos!L16+Datos!AF16)," - ")</f>
        <v>2066</v>
      </c>
      <c r="AG16" s="374"/>
      <c r="AH16" s="374"/>
      <c r="AI16" s="374"/>
      <c r="AJ16" s="549"/>
      <c r="AK16" s="374"/>
      <c r="AL16" s="545"/>
      <c r="AM16" s="375">
        <f>IF(ISNUMBER(Datos!R16),Datos!R16," - ")</f>
        <v>263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176</v>
      </c>
      <c r="BD16" s="243">
        <f>IF(ISNUMBER(Datos!N16),Datos!N16," - ")</f>
        <v>848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1.1744791666666667</v>
      </c>
      <c r="BH16" s="764">
        <f>IF(ISNUMBER(((IF(D_I="SI",Datos!L16/Datos!K16,(Datos!L16+Datos!AF16)/(Datos!K16+Datos!AE16)))*11)/factor_trimestre),((IF(D_I="SI",Datos!L16/Datos!K16,(Datos!L16+Datos!AF16)/(Datos!K16+Datos!AE16)))*11)/factor_trimestre," - ")</f>
        <v>4.5809312638580932</v>
      </c>
      <c r="BI16" s="266">
        <f>IF(ISNUMBER('Resol  Asuntos'!D16/NºAsuntos!G16),'Resol  Asuntos'!D16/NºAsuntos!G16," - ")</f>
        <v>0.13008130081300814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3</v>
      </c>
      <c r="G17" s="743">
        <f>IF(ISNUMBER(IF(D_I="SI",Datos!I17,Datos!I17+Datos!AC17)),IF(D_I="SI",Datos!I17,Datos!I17+Datos!AC17)," - ")</f>
        <v>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3</v>
      </c>
      <c r="AG17" s="374"/>
      <c r="AH17" s="374"/>
      <c r="AI17" s="374"/>
      <c r="AJ17" s="549"/>
      <c r="AK17" s="374"/>
      <c r="AL17" s="545"/>
      <c r="AM17" s="375">
        <f>IF(ISNUMBER(Datos!R17),Datos!R17," - ")</f>
        <v>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207</v>
      </c>
      <c r="AC18" s="547">
        <f>IF(ISNUMBER(Datos!Q18),Datos!Q18," - ")</f>
        <v>2</v>
      </c>
      <c r="AD18" s="549"/>
      <c r="AE18" s="562"/>
      <c r="AF18" s="551">
        <f>IF(ISNUMBER(Datos!L18),Datos!L18,"-")</f>
        <v>133</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64</v>
      </c>
      <c r="BD18" s="693">
        <f>IF(ISNUMBER(Datos!N18),Datos!N18," - ")</f>
        <v>79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1.2321428571428572</v>
      </c>
      <c r="BH18" s="764">
        <f>IF(ISNUMBER(((IF(D_I="SI",Datos!L18/Datos!K18,(Datos!L18+Datos!AF18)/(Datos!K18+Datos!AE18)))*11)/factor_trimestre),((IF(D_I="SI",Datos!L18/Datos!K18,(Datos!L18+Datos!AF18)/(Datos!K18+Datos!AE18)))*11)/factor_trimestre," - ")</f>
        <v>1.9275362318840579</v>
      </c>
      <c r="BI18" s="763">
        <f>IF(ISNUMBER('Resol  Asuntos'!D18/NºAsuntos!G18),'Resol  Asuntos'!D18/NºAsuntos!G18," - ")</f>
        <v>0.30917874396135264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2270</v>
      </c>
      <c r="G23" s="1197">
        <f>SUBTOTAL(9,G16:G22)</f>
        <v>2442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1560</v>
      </c>
      <c r="AC23" s="1198">
        <f t="shared" si="5"/>
        <v>37</v>
      </c>
      <c r="AD23" s="1198">
        <f t="shared" si="5"/>
        <v>0</v>
      </c>
      <c r="AE23" s="1198">
        <f t="shared" si="5"/>
        <v>0</v>
      </c>
      <c r="AF23" s="1198">
        <f t="shared" si="5"/>
        <v>2202</v>
      </c>
      <c r="AG23" s="1198">
        <f t="shared" si="5"/>
        <v>0</v>
      </c>
      <c r="AH23" s="1198">
        <f t="shared" si="5"/>
        <v>0</v>
      </c>
      <c r="AI23" s="1198">
        <f t="shared" si="5"/>
        <v>0</v>
      </c>
      <c r="AJ23" s="1198">
        <f t="shared" si="5"/>
        <v>0</v>
      </c>
      <c r="AK23" s="1198">
        <f t="shared" si="5"/>
        <v>0</v>
      </c>
      <c r="AL23" s="1198">
        <f t="shared" si="5"/>
        <v>0</v>
      </c>
      <c r="AM23" s="1198">
        <f t="shared" si="5"/>
        <v>269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240</v>
      </c>
      <c r="BD23" s="1198">
        <f t="shared" si="5"/>
        <v>927</v>
      </c>
      <c r="BE23" s="1198">
        <f t="shared" si="5"/>
        <v>0</v>
      </c>
      <c r="BF23" s="1198">
        <f t="shared" si="5"/>
        <v>0</v>
      </c>
      <c r="BG23" s="1198">
        <f>IF(ISNUMBER(Datos!K23/Datos!J23),Datos!K23/Datos!J23," - ")</f>
        <v>1.1818181818181819</v>
      </c>
      <c r="BH23" s="1202">
        <f>IF(ISNUMBER(((Datos!L23/Datos!K23)*11)/factor_trimestre),((Datos!L23/Datos!K23)*11)/factor_trimestre," - ")</f>
        <v>4.2346153846153847</v>
      </c>
      <c r="BI23" s="1198">
        <f>SUBTOTAL(9,BI16:BI22)</f>
        <v>0.43926004477436076</v>
      </c>
      <c r="BJ23" s="1198">
        <f>SUBTOTAL(9,BJ16:BJ22)</f>
        <v>0</v>
      </c>
      <c r="BK23" s="1198">
        <f>SUBTOTAL(9,BK16:BK22)</f>
        <v>0</v>
      </c>
      <c r="BL23" s="1198">
        <f>IF(ISNUMBER((I23-AB23+L23)/(F23)),(I23-AB23+L23)/(F23)," - ")</f>
        <v>-0.68722466960352424</v>
      </c>
      <c r="BM23" s="1205">
        <f>IF(ISNUMBER((Datos!P23-Datos!Q23)/(Datos!R23-Datos!P23+Datos!Q23)),(Datos!P23-Datos!Q23)/(Datos!R23-Datos!P23+Datos!Q23)," - ")</f>
        <v>6.7460317460317457E-2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2354</v>
      </c>
      <c r="G31" s="1117">
        <f t="shared" si="18"/>
        <v>2526</v>
      </c>
      <c r="H31" s="1119">
        <f t="shared" si="18"/>
        <v>0</v>
      </c>
      <c r="I31" s="1117">
        <f t="shared" si="18"/>
        <v>0</v>
      </c>
      <c r="J31" s="1119">
        <f t="shared" si="18"/>
        <v>0</v>
      </c>
      <c r="K31" s="1119">
        <f t="shared" si="18"/>
        <v>0</v>
      </c>
      <c r="L31" s="1180">
        <f t="shared" si="18"/>
        <v>0</v>
      </c>
      <c r="M31" s="1180">
        <f t="shared" si="18"/>
        <v>0</v>
      </c>
      <c r="N31" s="1180">
        <f t="shared" si="18"/>
        <v>76</v>
      </c>
      <c r="O31" s="1180">
        <f t="shared" si="18"/>
        <v>0</v>
      </c>
      <c r="P31" s="1180">
        <f t="shared" si="18"/>
        <v>0</v>
      </c>
      <c r="Q31" s="1119">
        <f t="shared" si="18"/>
        <v>207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1592</v>
      </c>
      <c r="AC31" s="1118">
        <f t="shared" si="19"/>
        <v>458</v>
      </c>
      <c r="AD31" s="1118">
        <f t="shared" si="19"/>
        <v>0</v>
      </c>
      <c r="AE31" s="1118">
        <f t="shared" si="19"/>
        <v>0</v>
      </c>
      <c r="AF31" s="1125">
        <f t="shared" si="19"/>
        <v>2281</v>
      </c>
      <c r="AG31" s="1125">
        <f t="shared" si="19"/>
        <v>0</v>
      </c>
      <c r="AH31" s="1125">
        <f t="shared" si="19"/>
        <v>158</v>
      </c>
      <c r="AI31" s="1125">
        <f t="shared" si="19"/>
        <v>0</v>
      </c>
      <c r="AJ31" s="1118">
        <f t="shared" si="19"/>
        <v>0</v>
      </c>
      <c r="AK31" s="1125">
        <f t="shared" si="19"/>
        <v>0</v>
      </c>
      <c r="AL31" s="1125">
        <f t="shared" si="19"/>
        <v>0</v>
      </c>
      <c r="AM31" s="1125">
        <f t="shared" si="19"/>
        <v>7941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645</v>
      </c>
      <c r="BD31" s="1117">
        <f t="shared" si="19"/>
        <v>1792</v>
      </c>
      <c r="BE31" s="1117">
        <f t="shared" si="19"/>
        <v>0</v>
      </c>
      <c r="BF31" s="1127">
        <f t="shared" si="19"/>
        <v>0</v>
      </c>
      <c r="BG31" s="1223">
        <f>IF(ISNUMBER(Datos!K31/Datos!J31),Datos!K31/Datos!J31," - ")</f>
        <v>1.4725997369574748</v>
      </c>
      <c r="BH31" s="1223">
        <f>IF(ISNUMBER(((Datos!L31/Datos!K31)*11)/factor_trimestre),((Datos!L31/Datos!K31)*11)/factor_trimestre," - ")</f>
        <v>5.956236975290266</v>
      </c>
      <c r="BI31" s="1103">
        <f>IF(ISNUMBER(Datos!J31/Datos!I31),Datos!J31/Datos!I31," - ")</f>
        <v>0.29673474697541302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-0.67629566694987253</v>
      </c>
      <c r="BM31" s="1188">
        <f>IF(ISNUMBER((Datos!P31-Datos!Q31+R31)/(Datos!R31-Datos!P31+Datos!Q31-R31)),(Datos!P31-Datos!Q31+R31)/(Datos!R31-Datos!P31+Datos!Q31-R31)," - ")</f>
        <v>-3.06396484375E-2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631.5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1.7404711333664431</v>
      </c>
      <c r="F33" s="673">
        <f>IF(ISNUMBER(STDEV(F8:F30)),STDEV(F8:F30),"-")</f>
        <v>1090.8592724916227</v>
      </c>
      <c r="G33" s="674">
        <f>IF(ISNUMBER(STDEV(G8:G30)),STDEV(G8:G30),"-")</f>
        <v>1066.1023805030572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659.20666605506085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168.50593461359156</v>
      </c>
      <c r="BD33" s="673"/>
      <c r="BE33" s="673">
        <f>IF(ISNUMBER(STDEV(BE8:BE30)),STDEV(BE8:BE30),"-")</f>
        <v>0</v>
      </c>
      <c r="BF33" s="678">
        <f>IF(ISNUMBER(STDEV(BF8:BF30)),STDEV(BF8:BF30),"-")</f>
        <v>0</v>
      </c>
      <c r="BG33" s="1052">
        <f>IF(ISNUMBER(STDEV(BG8:BG30)),STDEV(BG8:BG30),"-")</f>
        <v>0.34905209623809647</v>
      </c>
      <c r="BH33" s="1058">
        <f>IF(ISNUMBER(STDEV(BH8:BH30)),STDEV(BH8:BH30),"-")</f>
        <v>2.2660142852613503</v>
      </c>
      <c r="BI33" s="273">
        <f>IF(ISNUMBER(STDEV(BI8:BI30)),STDEV(BI8:BI30),"-")</f>
        <v>0.13311619261741112</v>
      </c>
      <c r="BJ33" s="244" t="str">
        <f>IF(ISNUMBER(BL33/BM33),BL33/BM33," - ")</f>
        <v xml:space="preserve"> - </v>
      </c>
      <c r="BK33" s="709"/>
      <c r="BL33" s="681">
        <f>IF(ISNUMBER(STDEV(BL8:BL30)),STDEV(BL8:BL30),"-")</f>
        <v>0.2165672121947472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bL8iZBfarexAhB4vkhZOR8S90iCDptasluLF3NH5jaDqe/pEL0LcQ3SVvtc0EoejOByR8sUkl4ldJfE0d/2Jww==" saltValue="EgegXJYfhenRTf5KOODe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INCA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150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421</v>
      </c>
      <c r="AA9" s="551" t="str">
        <f>IF(ISNUMBER(IF(J_V="SI",Datos!L9,Datos!L9+Datos!AB9)-IF(Monitorios="SI",Datos!CD9,0)),
                          IF(J_V="SI",Datos!L9,Datos!L9+Datos!AB9)-IF(Monitorios="SI",Datos!CD9,0),
                          " - ")</f>
        <v xml:space="preserve"> - </v>
      </c>
      <c r="AB9" s="549"/>
      <c r="AC9" s="549"/>
      <c r="AD9" s="563"/>
      <c r="AE9" s="563">
        <f>IF(ISNUMBER(Datos!R9),Datos!R9," - ")</f>
        <v>7640</v>
      </c>
      <c r="AF9" s="693" t="str">
        <f>IF(ISNUMBER(Datos!BV9),Datos!BV9," - ")</f>
        <v xml:space="preserve"> - </v>
      </c>
      <c r="AG9" s="552" t="str">
        <f>IF(ISNUMBER(Datos!DV9),Datos!DV9," - ")</f>
        <v xml:space="preserve"> - </v>
      </c>
      <c r="AH9" s="553"/>
      <c r="AI9" s="554"/>
      <c r="AJ9" s="552">
        <f>IF(ISNUMBER(Datos!M9),Datos!M9," - ")</f>
        <v>394</v>
      </c>
      <c r="AK9" s="693">
        <f>IF(ISNUMBER(Datos!N9),Datos!N9," - ")</f>
        <v>852</v>
      </c>
      <c r="AL9" s="693" t="str">
        <f>IF(ISNUMBER(Datos!BW9),Datos!BW9," - ")</f>
        <v xml:space="preserve"> - </v>
      </c>
      <c r="AM9" s="762" t="str">
        <f>IF(ISNUMBER(Datos!BX9),Datos!BX9," - ")</f>
        <v xml:space="preserve"> - </v>
      </c>
      <c r="AN9" s="763"/>
      <c r="AO9" s="764">
        <f>IF(ISNUMBER(((NºAsuntos!I9/NºAsuntos!G9)*11)/factor_trimestre),((NºAsuntos!I9/NºAsuntos!G9)*11)/factor_trimestre," - ")</f>
        <v>7.2426978226234731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-3.4256099102515487E-2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84</v>
      </c>
      <c r="G10" s="552">
        <f>IF(ISNUMBER(Datos!I10),Datos!I10," - ")</f>
        <v>84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32</v>
      </c>
      <c r="Z10" s="805">
        <f>IF(ISNUMBER(Datos!Q10),Datos!Q10," - ")</f>
        <v>0</v>
      </c>
      <c r="AA10" s="551">
        <f>IF(ISNUMBER(Datos!L10),Datos!L10,"-")</f>
        <v>79</v>
      </c>
      <c r="AB10" s="549"/>
      <c r="AC10" s="549"/>
      <c r="AD10" s="563"/>
      <c r="AE10" s="563">
        <f>IF(ISNUMBER(Datos!R10),Datos!R10," - ")</f>
        <v>32</v>
      </c>
      <c r="AF10" s="693" t="str">
        <f>IF(ISNUMBER(Datos!BV10),Datos!BV10," - ")</f>
        <v xml:space="preserve"> - </v>
      </c>
      <c r="AG10" s="552" t="str">
        <f>IF(ISNUMBER(Datos!DV10),Datos!DV10," - ")</f>
        <v xml:space="preserve"> - </v>
      </c>
      <c r="AH10" s="553"/>
      <c r="AI10" s="554"/>
      <c r="AJ10" s="552">
        <f>IF(ISNUMBER(Datos!M10),Datos!M10," - ")</f>
        <v>11</v>
      </c>
      <c r="AK10" s="693">
        <f>IF(ISNUMBER(Datos!N10),Datos!N10," - ")</f>
        <v>13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7.40625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0.10344827586206896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84</v>
      </c>
      <c r="G14" s="1197">
        <f>SUBTOTAL(9,G8:G13)</f>
        <v>84</v>
      </c>
      <c r="H14" s="1211"/>
      <c r="I14" s="1197">
        <f t="shared" ref="I14:N14" si="1">SUBTOTAL(9,I8:I13)</f>
        <v>0</v>
      </c>
      <c r="J14" s="1164">
        <f t="shared" si="1"/>
        <v>0</v>
      </c>
      <c r="K14" s="1211">
        <f t="shared" si="1"/>
        <v>0</v>
      </c>
      <c r="L14" s="1211">
        <f t="shared" si="1"/>
        <v>0</v>
      </c>
      <c r="M14" s="1211">
        <f t="shared" si="1"/>
        <v>0</v>
      </c>
      <c r="N14" s="1211">
        <f t="shared" si="1"/>
        <v>153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32</v>
      </c>
      <c r="Z14" s="1210">
        <f t="shared" si="3"/>
        <v>421</v>
      </c>
      <c r="AA14" s="1199">
        <f t="shared" si="3"/>
        <v>79</v>
      </c>
      <c r="AB14" s="1199">
        <f t="shared" si="3"/>
        <v>0</v>
      </c>
      <c r="AC14" s="1199">
        <f t="shared" si="3"/>
        <v>0</v>
      </c>
      <c r="AD14" s="1199">
        <f t="shared" si="3"/>
        <v>0</v>
      </c>
      <c r="AE14" s="1199">
        <f t="shared" si="3"/>
        <v>7672</v>
      </c>
      <c r="AF14" s="1211">
        <f t="shared" si="3"/>
        <v>0</v>
      </c>
      <c r="AG14" s="1211">
        <f t="shared" si="3"/>
        <v>0</v>
      </c>
      <c r="AH14" s="1211">
        <f t="shared" si="3"/>
        <v>0</v>
      </c>
      <c r="AI14" s="1211">
        <f t="shared" si="3"/>
        <v>0</v>
      </c>
      <c r="AJ14" s="1211">
        <f t="shared" si="3"/>
        <v>405</v>
      </c>
      <c r="AK14" s="1211">
        <f t="shared" si="3"/>
        <v>865</v>
      </c>
      <c r="AL14" s="1211">
        <f t="shared" si="3"/>
        <v>0</v>
      </c>
      <c r="AM14" s="1211">
        <f t="shared" si="3"/>
        <v>0</v>
      </c>
      <c r="AN14" s="1211">
        <f t="shared" si="3"/>
        <v>0</v>
      </c>
      <c r="AO14" s="1203">
        <f>IF(ISNUMBER(((NºAsuntos!I14/NºAsuntos!G14)*11)/factor_trimestre),((NºAsuntos!I14/NºAsuntos!G14)*11)/factor_trimestre," - ")</f>
        <v>7.2454308093994788</v>
      </c>
      <c r="AP14" s="1213" t="str">
        <f>IF(ISNUMBER(Datos!CI14/Datos!CJ14),Datos!CI14/Datos!CJ14," - ")</f>
        <v xml:space="preserve"> - </v>
      </c>
      <c r="AQ14" s="1236">
        <f t="shared" ref="AQ14:AV14" si="4">SUBTOTAL(9,AQ9:AQ13)</f>
        <v>0</v>
      </c>
      <c r="AR14" s="1236">
        <f t="shared" si="4"/>
        <v>6.919217675955347E-2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2267</v>
      </c>
      <c r="G16" s="552">
        <f>IF(ISNUMBER(IF(D_I="SI",Datos!I16,Datos!I16+Datos!AC16)),IF(D_I="SI",Datos!I16,Datos!I16+Datos!AC16)," - ")</f>
        <v>2267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50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1353</v>
      </c>
      <c r="Z16" s="805">
        <f>IF(ISNUMBER(Datos!Q16),Datos!Q16," - ")</f>
        <v>35</v>
      </c>
      <c r="AA16" s="551">
        <f>IF(ISNUMBER(IF(D_I="SI",Datos!L16,Datos!L16+Datos!AF16)),IF(D_I="SI",Datos!L16,Datos!L16+Datos!AF16)," - ")</f>
        <v>2066</v>
      </c>
      <c r="AB16" s="549"/>
      <c r="AC16" s="549"/>
      <c r="AD16" s="563"/>
      <c r="AE16" s="563">
        <f>IF(ISNUMBER(Datos!R16),Datos!R16," - ")</f>
        <v>263</v>
      </c>
      <c r="AF16" s="693" t="str">
        <f>IF(ISNUMBER(Datos!BV16),Datos!BV16," - ")</f>
        <v xml:space="preserve"> - </v>
      </c>
      <c r="AG16" s="552"/>
      <c r="AH16" s="553"/>
      <c r="AI16" s="554"/>
      <c r="AJ16" s="552">
        <f>IF(ISNUMBER(Datos!M16),Datos!M16," - ")</f>
        <v>176</v>
      </c>
      <c r="AK16" s="693">
        <f>IF(ISNUMBER(Datos!N16),Datos!N16," - ")</f>
        <v>848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4.5809312638580932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3</v>
      </c>
      <c r="G17" s="552">
        <f>IF(ISNUMBER(IF(D_I="SI",Datos!I17,Datos!I17+Datos!AC17)),IF(D_I="SI",Datos!I17,Datos!I17+Datos!AC17)," - ")</f>
        <v>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3</v>
      </c>
      <c r="AB17" s="549"/>
      <c r="AC17" s="549"/>
      <c r="AD17" s="563"/>
      <c r="AE17" s="563">
        <f>IF(ISNUMBER(Datos!R17),Datos!R17," - ")</f>
        <v>2</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207</v>
      </c>
      <c r="Z18" s="805">
        <f>IF(ISNUMBER(Datos!Q18),Datos!Q18," - ")</f>
        <v>2</v>
      </c>
      <c r="AA18" s="551">
        <f>IF(ISNUMBER(Datos!L18),Datos!L18,"-")</f>
        <v>133</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64</v>
      </c>
      <c r="AK18" s="693">
        <f>IF(ISNUMBER(Datos!N18),Datos!N18," - ")</f>
        <v>79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1.9275362318840579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2270</v>
      </c>
      <c r="G23" s="1197">
        <f>SUBTOTAL(9,G16:G22)</f>
        <v>2442</v>
      </c>
      <c r="H23" s="1240">
        <f>SUBTOTAL(9,H16:H22)</f>
        <v>0</v>
      </c>
      <c r="I23" s="1217">
        <f>SUBTOTAL(9,I16:I22)</f>
        <v>0</v>
      </c>
      <c r="J23" s="1164">
        <f>SUBTOTAL(9,J15:J22)</f>
        <v>0</v>
      </c>
      <c r="K23" s="1240">
        <f t="shared" ref="K23:S23" si="5">SUBTOTAL(9,K16:K22)</f>
        <v>0</v>
      </c>
      <c r="L23" s="1240">
        <f t="shared" si="5"/>
        <v>0</v>
      </c>
      <c r="M23" s="1240">
        <f t="shared" si="5"/>
        <v>0</v>
      </c>
      <c r="N23" s="1240">
        <f t="shared" si="5"/>
        <v>54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1560</v>
      </c>
      <c r="Z23" s="1240">
        <f t="shared" si="6"/>
        <v>37</v>
      </c>
      <c r="AA23" s="1240">
        <f t="shared" si="6"/>
        <v>2202</v>
      </c>
      <c r="AB23" s="1240">
        <f t="shared" si="6"/>
        <v>0</v>
      </c>
      <c r="AC23" s="1240">
        <f t="shared" si="6"/>
        <v>0</v>
      </c>
      <c r="AD23" s="1240">
        <f t="shared" si="6"/>
        <v>0</v>
      </c>
      <c r="AE23" s="1240">
        <f t="shared" si="6"/>
        <v>269</v>
      </c>
      <c r="AF23" s="1240">
        <f t="shared" si="6"/>
        <v>0</v>
      </c>
      <c r="AG23" s="1240">
        <f t="shared" si="6"/>
        <v>0</v>
      </c>
      <c r="AH23" s="1240">
        <f t="shared" si="6"/>
        <v>0</v>
      </c>
      <c r="AI23" s="1240">
        <f t="shared" si="6"/>
        <v>0</v>
      </c>
      <c r="AJ23" s="1240">
        <f t="shared" si="6"/>
        <v>240</v>
      </c>
      <c r="AK23" s="1240">
        <f t="shared" si="6"/>
        <v>927</v>
      </c>
      <c r="AL23" s="1240">
        <f t="shared" si="6"/>
        <v>0</v>
      </c>
      <c r="AM23" s="1240">
        <f t="shared" si="6"/>
        <v>0</v>
      </c>
      <c r="AN23" s="1240">
        <f t="shared" si="6"/>
        <v>0</v>
      </c>
      <c r="AO23" s="1242">
        <f>IF(ISNUMBER(((NºAsuntos!I23/NºAsuntos!G23)*11)/factor_trimestre),((NºAsuntos!I23/NºAsuntos!G23)*11)/factor_trimestre," - ")</f>
        <v>4.2346153846153847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2354</v>
      </c>
      <c r="G31" s="1117">
        <f t="shared" si="12"/>
        <v>2526</v>
      </c>
      <c r="H31" s="1118">
        <f t="shared" si="12"/>
        <v>0</v>
      </c>
      <c r="I31" s="1117">
        <f t="shared" si="12"/>
        <v>0</v>
      </c>
      <c r="J31" s="1119">
        <f t="shared" si="12"/>
        <v>0</v>
      </c>
      <c r="K31" s="1117">
        <f t="shared" si="12"/>
        <v>0</v>
      </c>
      <c r="L31" s="1120">
        <f t="shared" si="12"/>
        <v>0</v>
      </c>
      <c r="M31" s="1117">
        <f t="shared" si="12"/>
        <v>0</v>
      </c>
      <c r="N31" s="1118">
        <f t="shared" si="12"/>
        <v>207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1592</v>
      </c>
      <c r="Z31" s="1124">
        <f t="shared" si="13"/>
        <v>458</v>
      </c>
      <c r="AA31" s="1125">
        <f t="shared" si="13"/>
        <v>2281</v>
      </c>
      <c r="AB31" s="1125">
        <f t="shared" si="13"/>
        <v>0</v>
      </c>
      <c r="AC31" s="1125">
        <f t="shared" si="13"/>
        <v>0</v>
      </c>
      <c r="AD31" s="1126">
        <f t="shared" si="13"/>
        <v>0</v>
      </c>
      <c r="AE31" s="1126">
        <f t="shared" si="13"/>
        <v>7941</v>
      </c>
      <c r="AF31" s="1127">
        <f t="shared" si="13"/>
        <v>0</v>
      </c>
      <c r="AG31" s="1128">
        <f t="shared" si="13"/>
        <v>0</v>
      </c>
      <c r="AH31" s="1129">
        <f t="shared" si="13"/>
        <v>0</v>
      </c>
      <c r="AI31" s="1127">
        <f t="shared" si="13"/>
        <v>0</v>
      </c>
      <c r="AJ31" s="1117">
        <f t="shared" si="13"/>
        <v>645</v>
      </c>
      <c r="AK31" s="1117">
        <f t="shared" si="13"/>
        <v>1792</v>
      </c>
      <c r="AL31" s="1117">
        <f t="shared" si="13"/>
        <v>0</v>
      </c>
      <c r="AM31" s="1130">
        <f t="shared" si="13"/>
        <v>0</v>
      </c>
      <c r="AN31" s="1120">
        <f>IF(ISNUMBER(Datos!K31/Datos!J31),Datos!K31/Datos!J31," - ")</f>
        <v>1.4725997369574748</v>
      </c>
      <c r="AO31" s="1120">
        <f>IF(ISNUMBER(FIND("06",Criterios!A8,1)),(IF(ISNUMBER(((Datos!R31/Datos!Q31)*11)/factor_trimestre),((Datos!R31/Datos!Q31)*11)/factor_trimestre," - ")),(IF(ISNUMBER(((Datos!L31/Datos!K31)*11)/factor_trimestre),((Datos!L31/Datos!K31)*11)/factor_trimestre," - ")))</f>
        <v>5.956236975290266</v>
      </c>
      <c r="AP31" s="1131" t="str">
        <f>IF(ISNUMBER(Datos!CI31/Datos!CJ31),Datos!CI31/Datos!CJ31," - ")</f>
        <v xml:space="preserve"> - </v>
      </c>
      <c r="AQ31" s="1131">
        <f>IF(OR(ISNUMBER(FIND("01",Criterios!A8,1)),ISNUMBER(FIND("02",Criterios!A8,1)),ISNUMBER(FIND("03",Criterios!A8,1)),ISNUMBER(FIND("04",Criterios!A8,1))),(J31-Y31+K31)/(F31-K31),(I31-Y31+K31)/(F31-K31))</f>
        <v>-0.67629566694987253</v>
      </c>
      <c r="AR31" s="1131">
        <f>IF(ISNUMBER((Datos!P31-Datos!Q31+O31)/(Datos!R31-Datos!P31+Datos!Q31-O31)),(Datos!P31-Datos!Q31+O31)/(Datos!R31-Datos!P31+Datos!Q31-O31)," - ")</f>
        <v>-3.06396484375E-2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631.5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1090.8592724916227</v>
      </c>
      <c r="G33" s="674">
        <f>IF(ISNUMBER(STDEV(G8:G30)),STDEV(G8:G30),"-")</f>
        <v>1066.1023805030572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168.50593461359156</v>
      </c>
      <c r="AK33" s="276"/>
      <c r="AL33" s="276">
        <f>IF(ISNUMBER(STDEV(AL8:AL30)),STDEV(AL8:AL30),"-")</f>
        <v>0</v>
      </c>
      <c r="AM33" s="278">
        <f>IF(ISNUMBER(STDEV(AM8:AM30)),STDEV(AM8:AM30),"-")</f>
        <v>0</v>
      </c>
      <c r="AN33" s="660">
        <f>IF(ISNUMBER(STDEV(AN8:AN30)),STDEV(AN8:AN30),"-")</f>
        <v>0</v>
      </c>
      <c r="AO33" s="661">
        <f>IF(ISNUMBER(STDEV(AO8:AO30)),STDEV(AO8:AO30),"-")</f>
        <v>2.2317612203138255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AREQ1z/bK5YQivPjMux9TxpalYI/5to/tHR2VHI7xR/DilGs2h72/PnWmctm9eAVOmtC5EFXVGHKhbPPxhZ99g==" saltValue="HkfWTGp5uoNRmdUqSIaS9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WO3ZyTtvu42slmRgCYum9UWyMxX9di0D5kpZdjkNt26ln0qjQTb05Ab4jlr6igAveeNdPki1GDosxkaWm+DpA==" saltValue="luKS78PXZbrN1vkRDhrP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eo4SzeJIou5iFmeRl8LIkphUXZcg2IW1c/7lgqnUBQR1pZDsDvHNryzPdp7ezXoLxsuvR/yRP4PWNThxuOhZw==" saltValue="qsPw+56s69XHvVtQ3z6KR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INCA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0.21148825065274152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0.14954477617783382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l7o63eE055KcriB/4T38/LlB8PL5wIW57kBCv2SorksiCB3Z02EUkRF/Le/QqyVu84DQOPw2YeAXoww6W2RJUA==" saltValue="buch1Vzb0iimpgyi6dAK9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Mt1llX+xj5FlYPeRdA3tk1YRlQHcQd1s46awvlR6d8mnsnvHJfi2YoFdUsnIxTCgnuB2tdo7jSNahTxwEg+gUw==" saltValue="nzWgp5WucUhGwFw8ryOo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159</v>
      </c>
      <c r="B3" s="439" t="str">
        <f>Criterios!A10 &amp;"  "&amp;Criterios!B10</f>
        <v>Provincias  ILLES BALEARS</v>
      </c>
      <c r="D3" s="436"/>
      <c r="E3" s="436"/>
      <c r="F3" s="436"/>
    </row>
    <row r="4" spans="1:14" ht="13.5" thickBot="1">
      <c r="A4" s="436"/>
      <c r="B4" s="439" t="str">
        <f>Criterios!A11 &amp;"  "&amp;Criterios!B11</f>
        <v>Resumenes por Partidos Judiciales  INCA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5369</v>
      </c>
      <c r="D9" s="452">
        <f>IF(ISNUMBER(C9/Datos!BH9),C9/Datos!BH9," - ")</f>
        <v>1073.8</v>
      </c>
      <c r="E9" s="451">
        <f>IF(ISNUMBER(IF(J_V="SI",Datos!J9,Datos!J9+Datos!Z9)),IF(J_V="SI",Datos!J9,Datos!J9+Datos!Z9)," - ")</f>
        <v>1010</v>
      </c>
      <c r="F9" s="452">
        <f>IF(ISNUMBER(E9/B9),E9/B9," - ")</f>
        <v>202</v>
      </c>
      <c r="G9" s="451">
        <f>IF(ISNUMBER(IF(J_V="SI",Datos!K9,Datos!K9+Datos!AA9)),IF(J_V="SI",Datos!K9,Datos!K9+Datos!AA9)," - ")</f>
        <v>1883</v>
      </c>
      <c r="H9" s="452">
        <f>IF(ISNUMBER(G9/B9),G9/B9," - ")</f>
        <v>376.6</v>
      </c>
      <c r="I9" s="451">
        <f>IF(ISNUMBER(IF(J_V="SI",Datos!L9,Datos!L9+Datos!AB9)),IF(J_V="SI",Datos!L9,Datos!L9+Datos!AB9)," - ")</f>
        <v>4546</v>
      </c>
      <c r="J9" s="452">
        <f>IF(ISNUMBER(I9/B9),I9/B9," - ")</f>
        <v>909.2</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84</v>
      </c>
      <c r="D10" s="452">
        <f>IF(ISNUMBER(C10/Datos!BH10),C10/Datos!BH10," - ")</f>
        <v>84</v>
      </c>
      <c r="E10" s="451">
        <f>IF(ISNUMBER(Datos!J10),Datos!J10," - ")</f>
        <v>27</v>
      </c>
      <c r="F10" s="452">
        <f>IF(ISNUMBER(E10/B10),E10/B10," - ")</f>
        <v>27</v>
      </c>
      <c r="G10" s="451">
        <f>IF(ISNUMBER(Datos!K10),Datos!K10," - ")</f>
        <v>32</v>
      </c>
      <c r="H10" s="452">
        <f>IF(ISNUMBER(G10/B10),G10/B10," - ")</f>
        <v>32</v>
      </c>
      <c r="I10" s="451">
        <f>IF(ISNUMBER(Datos!L10),Datos!L10," - ")</f>
        <v>79</v>
      </c>
      <c r="J10" s="452">
        <f>IF(ISNUMBER(I10/B10),I10/B10," - ")</f>
        <v>79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5453</v>
      </c>
      <c r="D14" s="1147" t="str">
        <f>IF(ISNUMBER(C14/Datos!BI14),C14/Datos!BI14," - ")</f>
        <v xml:space="preserve"> - </v>
      </c>
      <c r="E14" s="1146">
        <f>SUBTOTAL(9,E8:E13)</f>
        <v>1037</v>
      </c>
      <c r="F14" s="1147">
        <f>IF(ISNUMBER(E14/B14),E14/B14," - ")</f>
        <v>207.4</v>
      </c>
      <c r="G14" s="1146">
        <f>SUBTOTAL(9,G8:G13)</f>
        <v>1915</v>
      </c>
      <c r="H14" s="1147">
        <f>IF(ISNUMBER(G14/B14),G14/B14," - ")</f>
        <v>383</v>
      </c>
      <c r="I14" s="1146">
        <f>SUBTOTAL(9,I8:I13)</f>
        <v>4625</v>
      </c>
      <c r="J14" s="1147">
        <f>IF(ISNUMBER(I14/B14),I14/B14," - ")</f>
        <v>925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2267</v>
      </c>
      <c r="D16" s="452">
        <f>IF(ISNUMBER(C16/Datos!BH16),C16/Datos!BH16," - ")</f>
        <v>755.66666666666663</v>
      </c>
      <c r="E16" s="451">
        <f>IF(ISNUMBER(IF(D_I="SI",Datos!J16,Datos!J16+Datos!AD16)),IF(D_I="SI",Datos!J16,Datos!J16+Datos!AD16)," - ")</f>
        <v>1152</v>
      </c>
      <c r="F16" s="452">
        <f>IF(ISNUMBER(E16/B16),E16/B16," - ")</f>
        <v>384</v>
      </c>
      <c r="G16" s="451">
        <f>IF(ISNUMBER(IF(D_I="SI",Datos!K16,Datos!K16+Datos!AE16)),IF(D_I="SI",Datos!K16,Datos!K16+Datos!AE16)," - ")</f>
        <v>1353</v>
      </c>
      <c r="H16" s="452">
        <f>IF(ISNUMBER(G16/B16),G16/B16," - ")</f>
        <v>451</v>
      </c>
      <c r="I16" s="451">
        <f>IF(ISNUMBER(IF(D_I="SI",Datos!L16,Datos!L16+Datos!AF16)),IF(D_I="SI",Datos!L16,Datos!L16+Datos!AF16)," - ")</f>
        <v>2066</v>
      </c>
      <c r="J16" s="452">
        <f>IF(ISNUMBER(I16/B16),I16/B16," - ")</f>
        <v>688.66666666666663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3</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3</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172</v>
      </c>
      <c r="D18" s="452">
        <f>IF(ISNUMBER(C18/Datos!BH18),C18/Datos!BH18," - ")</f>
        <v>172</v>
      </c>
      <c r="E18" s="451">
        <f>IF(ISNUMBER(IF(D_I="SI",Datos!J18,Datos!J18+Datos!AD18)),IF(D_I="SI",Datos!J18,Datos!J18+Datos!AD18)," - ")</f>
        <v>168</v>
      </c>
      <c r="F18" s="452">
        <f>IF(ISNUMBER(E18/B18),E18/B18," - ")</f>
        <v>168</v>
      </c>
      <c r="G18" s="451">
        <f>IF(ISNUMBER(IF(D_I="SI",Datos!K18,Datos!K18+Datos!AE18)),IF(D_I="SI",Datos!K18,Datos!K18+Datos!AE18)," - ")</f>
        <v>207</v>
      </c>
      <c r="H18" s="452">
        <f>IF(ISNUMBER(G18/B18),G18/B18," - ")</f>
        <v>207</v>
      </c>
      <c r="I18" s="451">
        <f>IF(ISNUMBER(IF(D_I="SI",Datos!L18,Datos!L18+Datos!AF18)),IF(D_I="SI",Datos!L18,Datos!L18+Datos!AF18)," - ")</f>
        <v>133</v>
      </c>
      <c r="J18" s="452">
        <f>IF(ISNUMBER(I18/B18),I18/B18," - ")</f>
        <v>133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2442</v>
      </c>
      <c r="D23" s="1147" t="str">
        <f>IF(ISNUMBER(C23/Datos!BI23),C23/Datos!BI23," - ")</f>
        <v xml:space="preserve"> - </v>
      </c>
      <c r="E23" s="1146">
        <f>SUBTOTAL(9,E15:E22)</f>
        <v>1320</v>
      </c>
      <c r="F23" s="1147">
        <f>IF(ISNUMBER(E23/B23),E23/B23," - ")</f>
        <v>440</v>
      </c>
      <c r="G23" s="1146">
        <f>SUBTOTAL(9,G15:G22)</f>
        <v>1560</v>
      </c>
      <c r="H23" s="1147">
        <f>IF(ISNUMBER(G23/B23),G23/B23," - ")</f>
        <v>520</v>
      </c>
      <c r="I23" s="1146">
        <f>SUBTOTAL(9,I15:I22)</f>
        <v>2202</v>
      </c>
      <c r="J23" s="1147">
        <f>IF(ISNUMBER(I23/B23),I23/B23," - ")</f>
        <v>734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7895</v>
      </c>
      <c r="D31" s="1085" t="str">
        <f>IF(ISNUMBER(C31/Datos!BI31),C31/Datos!BI31," - ")</f>
        <v xml:space="preserve"> - </v>
      </c>
      <c r="E31" s="1084">
        <f>SUBTOTAL(9,E9:E30)</f>
        <v>2357</v>
      </c>
      <c r="F31" s="1085">
        <f>IF(ISNUMBER(E31/B31),E31/B31," - ")</f>
        <v>294.625</v>
      </c>
      <c r="G31" s="1084">
        <f>SUBTOTAL(9,G9:G30)</f>
        <v>3475</v>
      </c>
      <c r="H31" s="1085">
        <f>IF(ISNUMBER(G31/B31),G31/B31," - ")</f>
        <v>434.375</v>
      </c>
      <c r="I31" s="1084">
        <f>SUBTOTAL(9,I9:I30)</f>
        <v>6827</v>
      </c>
      <c r="J31" s="1085">
        <f>IF(ISNUMBER(I31/B31),I31/B31," - ")</f>
        <v>853.375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h65SKHCDx+pb3W0ZtT2OBN5LDAPjdCoZTpNwvkq15UQscH7XN9vfNL2bIja/CIVkkJQBd4LsjfOB2gGDuXyhMA==" saltValue="uAoQ3WB/eFc+tbzJ7Mggs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INCA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84</v>
      </c>
      <c r="G10" s="906">
        <f>IF(ISNUMBER(Datos!I10),Datos!I10," - ")</f>
        <v>84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32</v>
      </c>
      <c r="AC10" s="905" t="str">
        <f>IF(ISNUMBER(IF(D_I="SI",DatosP!K18,DatosP!K18+DatosP!AE18)),IF(D_I="SI",DatosP!K18,DatosP!K18+DatosP!AE18)," - ")</f>
        <v xml:space="preserve"> - </v>
      </c>
      <c r="AD10" s="907"/>
      <c r="AE10" s="907"/>
      <c r="AF10" s="910">
        <f>IF(ISNUMBER(Datos!L10),Datos!L10,"-")</f>
        <v>79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13</v>
      </c>
      <c r="AN10" s="914">
        <f>IF(ISNUMBER(Datos!BW10+DatosP!BW18),Datos!BW10+DatosP!BW18," - ")</f>
        <v>0</v>
      </c>
      <c r="AO10" s="915">
        <f>IF(ISNUMBER(Datos!BX10+DatosP!BX18),Datos!BX10+DatosP!BX18," - ")</f>
        <v>0</v>
      </c>
      <c r="AP10" s="917">
        <f>IF(ISNUMBER(((Datos!L10/Datos!K10)*11)/factor_trimestre),((Datos!L10/Datos!K10)*11)/factor_trimestre," - ")</f>
        <v>7.40625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84</v>
      </c>
      <c r="G14" s="1256">
        <f t="shared" si="0"/>
        <v>84</v>
      </c>
      <c r="H14" s="1256">
        <f t="shared" si="0"/>
        <v>0</v>
      </c>
      <c r="I14" s="1258">
        <f t="shared" si="0"/>
        <v>0</v>
      </c>
      <c r="J14" s="1257">
        <f t="shared" si="0"/>
        <v>0</v>
      </c>
      <c r="K14" s="1257">
        <f t="shared" si="0"/>
        <v>0</v>
      </c>
      <c r="L14" s="1259">
        <f t="shared" si="0"/>
        <v>0</v>
      </c>
      <c r="M14" s="1259">
        <f t="shared" si="0"/>
        <v>0</v>
      </c>
      <c r="N14" s="1257">
        <f t="shared" si="0"/>
        <v>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32</v>
      </c>
      <c r="AC14" s="1257">
        <f t="shared" si="1"/>
        <v>0</v>
      </c>
      <c r="AD14" s="1257">
        <f t="shared" si="1"/>
        <v>0</v>
      </c>
      <c r="AE14" s="1257">
        <f t="shared" si="1"/>
        <v>0</v>
      </c>
      <c r="AF14" s="1257">
        <f t="shared" si="1"/>
        <v>79</v>
      </c>
      <c r="AG14" s="1257">
        <f t="shared" si="1"/>
        <v>0</v>
      </c>
      <c r="AH14" s="1257">
        <f t="shared" si="1"/>
        <v>0</v>
      </c>
      <c r="AI14" s="1257">
        <f t="shared" si="1"/>
        <v>0</v>
      </c>
      <c r="AJ14" s="1257">
        <f t="shared" si="1"/>
        <v>0</v>
      </c>
      <c r="AK14" s="1257">
        <f t="shared" si="1"/>
        <v>0</v>
      </c>
      <c r="AL14" s="1257">
        <f t="shared" si="1"/>
        <v>11</v>
      </c>
      <c r="AM14" s="1257">
        <f t="shared" si="1"/>
        <v>13</v>
      </c>
      <c r="AN14" s="1257">
        <f t="shared" si="1"/>
        <v>0</v>
      </c>
      <c r="AO14" s="1257">
        <f t="shared" si="1"/>
        <v>0</v>
      </c>
      <c r="AP14" s="1262">
        <f>IF(ISNUMBER(((Datos!L14/Datos!K14)*11)/factor_trimestre),((Datos!L14/Datos!K14)*11)/factor_trimestre," - ")</f>
        <v>7.4491384102279046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-0.38095238095238093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4.2346153846153847</v>
      </c>
      <c r="AQ23" s="1262">
        <f>IF(ISNUMBER(((Datos!M23/Datos!L23)*11)/factor_trimestre),((Datos!M23/Datos!L23)*11)/factor_trimestre," - ")</f>
        <v>0.32697547683923706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6.7460317460317457E-2</v>
      </c>
      <c r="AW23" s="1265">
        <f>IF(ISNUMBER((Datos!Q23-Datos!R23)/(Datos!S23-Datos!Q23+Datos!R23)),(Datos!Q23-Datos!R23)/(Datos!S23-Datos!Q23+Datos!R23)," - ")</f>
        <v>-8.919646289888504E-2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84</v>
      </c>
      <c r="G31" s="1278">
        <f t="shared" si="8"/>
        <v>84</v>
      </c>
      <c r="H31" s="1278">
        <f t="shared" si="8"/>
        <v>0</v>
      </c>
      <c r="I31" s="1279">
        <f t="shared" si="8"/>
        <v>0</v>
      </c>
      <c r="J31" s="1280">
        <f t="shared" si="8"/>
        <v>0</v>
      </c>
      <c r="K31" s="1280">
        <f t="shared" si="8"/>
        <v>0</v>
      </c>
      <c r="L31" s="1280">
        <f t="shared" si="8"/>
        <v>0</v>
      </c>
      <c r="M31" s="1280">
        <f t="shared" si="8"/>
        <v>0</v>
      </c>
      <c r="N31" s="1279">
        <f t="shared" si="8"/>
        <v>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32</v>
      </c>
      <c r="AC31" s="1284">
        <f t="shared" si="9"/>
        <v>0</v>
      </c>
      <c r="AD31" s="1284">
        <f t="shared" si="9"/>
        <v>0</v>
      </c>
      <c r="AE31" s="1284">
        <f t="shared" si="9"/>
        <v>0</v>
      </c>
      <c r="AF31" s="1285">
        <f t="shared" si="9"/>
        <v>79</v>
      </c>
      <c r="AG31" s="1285">
        <f t="shared" si="9"/>
        <v>0</v>
      </c>
      <c r="AH31" s="1285">
        <f t="shared" si="9"/>
        <v>0</v>
      </c>
      <c r="AI31" s="1285">
        <f t="shared" si="9"/>
        <v>0</v>
      </c>
      <c r="AJ31" s="1286">
        <f t="shared" si="9"/>
        <v>0</v>
      </c>
      <c r="AK31" s="1286">
        <f t="shared" si="9"/>
        <v>0</v>
      </c>
      <c r="AL31" s="1278">
        <f t="shared" si="9"/>
        <v>11</v>
      </c>
      <c r="AM31" s="1278">
        <f t="shared" si="9"/>
        <v>13</v>
      </c>
      <c r="AN31" s="1278">
        <f t="shared" si="9"/>
        <v>0</v>
      </c>
      <c r="AO31" s="1278">
        <f t="shared" si="9"/>
        <v>0</v>
      </c>
      <c r="AP31" s="1278">
        <f>IF(ISNUMBER(((Datos!L31/Datos!K31)*11)/factor_trimestre),((Datos!L31/Datos!K31)*11)/factor_trimestre," - ")</f>
        <v>5.956236975290266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-0.38095238095238093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-3.06396484375E-2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46.008694830433953</v>
      </c>
      <c r="G33" s="1007">
        <f>IF(ISNUMBER(STDEV(G8:G30)),STDEV(G8:G30),"-")</f>
        <v>46.008694830433953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17.527121840165314</v>
      </c>
      <c r="AC33" s="1008">
        <f>IF(ISNUMBER(STDEV(AC8:AC30)),STDEV(AC8:AC30),"-")</f>
        <v>0</v>
      </c>
      <c r="AD33" s="1011"/>
      <c r="AE33" s="1011"/>
      <c r="AF33" s="1011"/>
      <c r="AG33" s="1011"/>
      <c r="AH33" s="1011"/>
      <c r="AI33" s="1011"/>
      <c r="AJ33" s="1012">
        <f>IF(ISNUMBER(STDEV(AJ8:AJ30)),STDEV(AJ8:AJ30),"-")</f>
        <v>0</v>
      </c>
      <c r="AK33" s="1014"/>
      <c r="AL33" s="1006">
        <f>IF(ISNUMBER(STDEV(AL8:AL30)),STDEV(AL8:AL30),"-")</f>
        <v>6.024948132556827</v>
      </c>
      <c r="AM33" s="1006"/>
      <c r="AN33" s="1006">
        <f>IF(ISNUMBER(STDEV(AN8:AN30)),STDEV(AN8:AN30),"-")</f>
        <v>0</v>
      </c>
      <c r="AO33" s="1012">
        <f>IF(ISNUMBER(STDEV(AO8:AO30)),STDEV(AO8:AO30),"-")</f>
        <v>0</v>
      </c>
      <c r="AP33" s="1065">
        <f>IF(ISNUMBER(STDEV(AP8:AP30)),STDEV(AP8:AP30),"-")</f>
        <v>1.8436496337170836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ONVMTeCFvpo537cJ+9SUi7n/Qu7QCbPg3sJs5vceBCikx2iIupQacBUKzHiIlWwcOwbh8+0H2Rd/L2boFMYGQ==" saltValue="M/WFqADkOZp7gG2moIkS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280</v>
      </c>
      <c r="B3" s="439" t="str">
        <f>Criterios!A10 &amp;"  "&amp;Criterios!B10</f>
        <v>Provincias  ILLES BALEARS</v>
      </c>
      <c r="C3" s="463"/>
      <c r="F3" s="436"/>
      <c r="G3" s="436"/>
      <c r="H3" s="436"/>
    </row>
    <row r="4" spans="1:15" ht="13.5" thickBot="1">
      <c r="A4" s="436"/>
      <c r="B4" s="439" t="str">
        <f>Criterios!A11 &amp;"  "&amp;Criterios!B11</f>
        <v>Resumenes por Partidos Judiciales  INCA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YQS9NM1WoAkG7079eMiUqs7fZq8mDVhhiaAwQoJkfoT6MMoxaVdh07KpoJm+peUhqq3OVo1VS+2RJGqcsC5C9w==" saltValue="PE2JFPqYZGWWn1ihzjEl5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INCA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394</v>
      </c>
      <c r="E9" s="452">
        <f t="shared" ref="E9:E14" si="0">IF(ISNUMBER(D9/B9),D9/B9," - ")</f>
        <v>78.8</v>
      </c>
      <c r="F9" s="451">
        <f>IF(ISNUMBER(Datos!N9),Datos!N9," - ")</f>
        <v>852</v>
      </c>
      <c r="G9" s="452">
        <f t="shared" ref="G9:G14" si="1">IF(ISNUMBER(F9/B9),F9/B9," - ")</f>
        <v>170.4</v>
      </c>
      <c r="H9" s="451">
        <f>IF(ISNUMBER(Datos!O9),Datos!O9," - ")</f>
        <v>578</v>
      </c>
      <c r="I9" s="452">
        <f>IF(ISNUMBER(H9/B9),H9/B9," - ")</f>
        <v>115.6</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13</v>
      </c>
      <c r="G10" s="452">
        <f>IF(ISNUMBER(F10/B10),F10/B10," - ")</f>
        <v>13</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405</v>
      </c>
      <c r="E14" s="1147">
        <f t="shared" si="0"/>
        <v>67.5</v>
      </c>
      <c r="F14" s="1146">
        <f>SUBTOTAL(9,F9:F13)</f>
        <v>865</v>
      </c>
      <c r="G14" s="1147">
        <f t="shared" si="1"/>
        <v>144.16666666666666</v>
      </c>
      <c r="H14" s="1146">
        <f>SUBTOTAL(9,H9:H13)</f>
        <v>579</v>
      </c>
      <c r="I14" s="1147">
        <f>IF(ISNUMBER(H14/B14),H14/B14," - ")</f>
        <v>96.5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176</v>
      </c>
      <c r="E16" s="452">
        <f t="shared" ref="E16:E23" si="3">IF(ISNUMBER(D16/B16),D16/B16," - ")</f>
        <v>58.666666666666664</v>
      </c>
      <c r="F16" s="451">
        <f>IF(ISNUMBER(Datos!N16),Datos!N16," - ")</f>
        <v>848</v>
      </c>
      <c r="G16" s="452">
        <f t="shared" ref="G16:G23" si="4">IF(ISNUMBER(F16/B16),F16/B16," - ")</f>
        <v>282.66666666666669</v>
      </c>
      <c r="H16" s="451">
        <f>IF(ISNUMBER(Datos!O16),Datos!O16," - ")</f>
        <v>31</v>
      </c>
      <c r="I16" s="452">
        <f t="shared" ref="I16:I22" si="5">IF(ISNUMBER(H16/B16),H16/B16," - ")</f>
        <v>10.333333333333334</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0</v>
      </c>
      <c r="D18" s="451">
        <f>IF(ISNUMBER(Datos!M18),Datos!M18," - ")</f>
        <v>64</v>
      </c>
      <c r="E18" s="452">
        <f>IF(ISNUMBER(D18/B18),D18/B18," - ")</f>
        <v>64</v>
      </c>
      <c r="F18" s="451">
        <f>IF(ISNUMBER(Datos!N18),Datos!N18," - ")</f>
        <v>79</v>
      </c>
      <c r="G18" s="452">
        <f>IF(ISNUMBER(F18/B18),F18/B18," - ")</f>
        <v>79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240</v>
      </c>
      <c r="E23" s="1147">
        <f t="shared" si="3"/>
        <v>60</v>
      </c>
      <c r="F23" s="1146">
        <f>SUBTOTAL(9,F16:F22)</f>
        <v>927</v>
      </c>
      <c r="G23" s="1147">
        <f t="shared" si="4"/>
        <v>231.75</v>
      </c>
      <c r="H23" s="1146">
        <f>SUBTOTAL(9,H16:H22)</f>
        <v>31</v>
      </c>
      <c r="I23" s="1147">
        <f>IF(ISNUMBER(H23/B23),H23/B23," - ")</f>
        <v>7.75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645</v>
      </c>
      <c r="E31" s="1085">
        <f>IF(ISNUMBER(D31/B31),D31/B31," - ")</f>
        <v>80.625</v>
      </c>
      <c r="F31" s="1084">
        <f>SUBTOTAL(9,F8:F30)</f>
        <v>1792</v>
      </c>
      <c r="G31" s="1085">
        <f>IF(ISNUMBER(F31/B31),F31/B31," - ")</f>
        <v>224</v>
      </c>
      <c r="H31" s="1084">
        <f>SUBTOTAL(9,H8:H30)</f>
        <v>610</v>
      </c>
      <c r="I31" s="1085">
        <f>IF(ISNUMBER(H31/B31),H31/B31," - ")</f>
        <v>76.25</v>
      </c>
    </row>
    <row r="34" spans="1:1">
      <c r="A34" s="439" t="str">
        <f>Criterios!A4</f>
        <v>Fecha Informe: 05 may. 2023</v>
      </c>
    </row>
    <row r="39" spans="1:1">
      <c r="A39" s="462"/>
    </row>
  </sheetData>
  <sheetProtection algorithmName="SHA-512" hashValue="Z80Htu0xVL0ztTwQt0rtHjsdeakh+7w1SW+TpdJlBSJXDGST0m5ZNvdHYIEC9fHVOSbp6teVbYHgtkg53lq7sQ==" saltValue="40VhttVR676B04+UnD8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48</v>
      </c>
      <c r="B3" s="439" t="str">
        <f>Criterios!A10 &amp;"  "&amp;Criterios!B10</f>
        <v>Provincias  ILLES BALEARS</v>
      </c>
    </row>
    <row r="4" spans="1:4" ht="13.5" thickBot="1">
      <c r="B4" s="439" t="str">
        <f>Criterios!A11 &amp;"  "&amp;Criterios!B11</f>
        <v>Resumenes por Partidos Judiciales  INCA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150</v>
      </c>
      <c r="C9" s="489">
        <f>IF(ISNUMBER(Datos!Q9),Datos!Q9," - ")</f>
        <v>421</v>
      </c>
      <c r="D9" s="456">
        <f>IF(ISNUMBER(Datos!R9),Datos!R9," - ")</f>
        <v>7640</v>
      </c>
    </row>
    <row r="10" spans="1:4">
      <c r="A10" s="450" t="str">
        <f>Datos!A10</f>
        <v>Jdos. Violencia contra la mujer</v>
      </c>
      <c r="B10" s="488">
        <f>IF(ISNUMBER(Datos!P10),Datos!P10," - ")</f>
        <v>3</v>
      </c>
      <c r="C10" s="489">
        <f>IF(ISNUMBER(Datos!Q10),Datos!Q10," - ")</f>
        <v>0</v>
      </c>
      <c r="D10" s="456">
        <f>IF(ISNUMBER(Datos!R10),Datos!R10," - ")</f>
        <v>32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153</v>
      </c>
      <c r="C14" s="1150">
        <f>SUBTOTAL(9,C9:C13)</f>
        <v>421</v>
      </c>
      <c r="D14" s="1148">
        <f>SUBTOTAL(9,D9:D13)</f>
        <v>7672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50</v>
      </c>
      <c r="C16" s="489">
        <f>IF(ISNUMBER(Datos!Q16),Datos!Q16," - ")</f>
        <v>35</v>
      </c>
      <c r="D16" s="456">
        <f>IF(ISNUMBER(Datos!R16),Datos!R16," - ")</f>
        <v>263</v>
      </c>
    </row>
    <row r="17" spans="1:4">
      <c r="A17" s="450" t="str">
        <f>Datos!A17</f>
        <v xml:space="preserve">Jdos. 1ª Instª. e Instr.                        </v>
      </c>
      <c r="B17" s="488">
        <f>IF(ISNUMBER(Datos!P17),Datos!P17," - ")</f>
        <v>0</v>
      </c>
      <c r="C17" s="489">
        <f>IF(ISNUMBER(Datos!Q17),Datos!Q17," - ")</f>
        <v>0</v>
      </c>
      <c r="D17" s="456">
        <f>IF(ISNUMBER(Datos!R17),Datos!R17," - ")</f>
        <v>2</v>
      </c>
    </row>
    <row r="18" spans="1:4">
      <c r="A18" s="450" t="str">
        <f>Datos!A18</f>
        <v>Jdos. Violencia contra la mujer</v>
      </c>
      <c r="B18" s="488">
        <f>IF(ISNUMBER(Datos!P18),Datos!P18," - ")</f>
        <v>4</v>
      </c>
      <c r="C18" s="489">
        <f>IF(ISNUMBER(Datos!Q18),Datos!Q18," - ")</f>
        <v>2</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54</v>
      </c>
      <c r="C23" s="1150">
        <f>SUBTOTAL(9,C16:C22)</f>
        <v>37</v>
      </c>
      <c r="D23" s="1148">
        <f>SUBTOTAL(9,D16:D22)</f>
        <v>269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207</v>
      </c>
      <c r="C31" s="1089">
        <f>SUBTOTAL(9,C8:C30)</f>
        <v>458</v>
      </c>
      <c r="D31" s="1090">
        <f>SUBTOTAL(9,D8:D30)</f>
        <v>7941</v>
      </c>
    </row>
    <row r="32" spans="1:4" ht="7.5" customHeight="1"/>
    <row r="33" spans="1:1" ht="6" customHeight="1"/>
    <row r="34" spans="1:1">
      <c r="A34" s="439" t="str">
        <f>Criterios!A4</f>
        <v>Fecha Informe: 05 may. 2023</v>
      </c>
    </row>
    <row r="39" spans="1:1">
      <c r="A39" s="462"/>
    </row>
  </sheetData>
  <sheetProtection algorithmName="SHA-512" hashValue="PWFH8nZACgXlmyB7VxZVCqtkZsk21tlO+myMJ3EQUS/etvT6zxBb1gyv5mYGN+2DYQ82Xq+4u1ZqHF3QAgfDIQ==" saltValue="3jP3uZdJkVTmRMCgxp9D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162</v>
      </c>
      <c r="B3" s="439" t="str">
        <f>Criterios!A10 &amp;"  "&amp;Criterios!B10</f>
        <v>Provincias  ILLES BALEARS</v>
      </c>
    </row>
    <row r="4" spans="1:11" ht="10.5" customHeight="1" thickBot="1">
      <c r="B4" s="439" t="str">
        <f>Criterios!A11 &amp;"  "&amp;Criterios!B11</f>
        <v>Resumenes por Partidos Judiciales  INCA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0.12746745065098697</v>
      </c>
      <c r="C9" s="515">
        <f>IF(ISNUMBER(
   IF(J_V="SI",(Datos!J9-Datos!T9)/Datos!T9,(Datos!J9+Datos!Z9-(Datos!T9+Datos!AH9))/(Datos!T9+Datos!AH9))
     ),IF(J_V="SI",(Datos!J9-Datos!T9)/Datos!T9,(Datos!J9+Datos!Z9-(Datos!T9+Datos!AH9))/(Datos!T9+Datos!AH9))," - ")</f>
        <v>-0.32441471571906355</v>
      </c>
      <c r="D9" s="515">
        <f>IF(ISNUMBER(
   IF(J_V="SI",(Datos!K9-Datos!U9)/Datos!U9,(Datos!K9+Datos!AA9-(Datos!U9+Datos!AI9))/(Datos!U9+Datos!AI9))
     ),IF(J_V="SI",(Datos!K9-Datos!U9)/Datos!U9,(Datos!K9+Datos!AA9-(Datos!U9+Datos!AI9))/(Datos!U9+Datos!AI9))," - ")</f>
        <v>0.28620218579234974</v>
      </c>
      <c r="E9" s="515">
        <f>IF(ISNUMBER(
   IF(J_V="SI",(Datos!L9-Datos!V9)/Datos!V9,(Datos!L9+Datos!AB9-(Datos!V9+Datos!AJ9))/(Datos!V9+Datos!AJ9))
     ),IF(J_V="SI",(Datos!L9-Datos!V9)/Datos!V9,(Datos!L9+Datos!AB9-(Datos!V9+Datos!AJ9))/(Datos!V9+Datos!AJ9))," - ")</f>
        <v>-5.3508224026650009E-2</v>
      </c>
      <c r="F9" s="515">
        <f>IF(ISNUMBER((Datos!M9-Datos!W9)/Datos!W9),(Datos!M9-Datos!W9)/Datos!W9," - ")</f>
        <v>8.8397790055248615E-2</v>
      </c>
      <c r="G9" s="516">
        <f>IF(ISNUMBER((Datos!N9-Datos!X9)/Datos!X9),(Datos!N9-Datos!X9)/Datos!X9," - ")</f>
        <v>0.24198250728862974</v>
      </c>
      <c r="H9" s="514">
        <f>IF(ISNUMBER(((NºAsuntos!G9/NºAsuntos!E9)-Datos!BD9)/Datos!BD9),((NºAsuntos!G9/NºAsuntos!E9)-Datos!BD9)/Datos!BD9," - ")</f>
        <v>0.90383392847481481</v>
      </c>
      <c r="I9" s="515">
        <f>IF(ISNUMBER(((NºAsuntos!I9/NºAsuntos!G9)-Datos!BE9)/Datos!BE9),((NºAsuntos!I9/NºAsuntos!G9)-Datos!BE9)/Datos!BE9," - ")</f>
        <v>-0.26411898033723613</v>
      </c>
      <c r="J9" s="521">
        <f>IF(ISNUMBER((('Resol  Asuntos'!D9/NºAsuntos!G9)-Datos!BF9)/Datos!BF9),(('Resol  Asuntos'!D9/NºAsuntos!G9)-Datos!BF9)/Datos!BF9," - ")</f>
        <v>-0.55345743486682286</v>
      </c>
      <c r="K9" s="522">
        <f>IF(ISNUMBER((((NºAsuntos!C9+NºAsuntos!E9)/NºAsuntos!G9)-Datos!BG9)/Datos!BG9),(((NºAsuntos!C9+NºAsuntos!E9)/NºAsuntos!G9)-Datos!BG9)/Datos!BG9," - ")</f>
        <v>-0.20735777522377269</v>
      </c>
    </row>
    <row r="10" spans="1:11">
      <c r="A10" s="450" t="str">
        <f>Datos!A10</f>
        <v>Jdos. Violencia contra la mujer</v>
      </c>
      <c r="B10" s="514">
        <f>IF(ISNUMBER((Datos!I10-Datos!S10)/Datos!S10),(Datos!I10-Datos!S10)/Datos!S10," - ")</f>
        <v>7.6923076923076927E-2</v>
      </c>
      <c r="C10" s="515">
        <f>IF(ISNUMBER((Datos!J10-Datos!T10)/Datos!T10),(Datos!J10-Datos!T10)/Datos!T10," - ")</f>
        <v>0</v>
      </c>
      <c r="D10" s="515">
        <f>IF(ISNUMBER((Datos!K10-Datos!U10)/Datos!U10),(Datos!K10-Datos!U10)/Datos!U10," - ")</f>
        <v>0.28000000000000003</v>
      </c>
      <c r="E10" s="515">
        <f>IF(ISNUMBER((Datos!L10-Datos!V10)/Datos!V10),(Datos!L10-Datos!V10)/Datos!V10," - ")</f>
        <v>-1.2500000000000001E-2</v>
      </c>
      <c r="F10" s="515">
        <f>IF(ISNUMBER((Datos!M10-Datos!W10)/Datos!W10),(Datos!M10-Datos!W10)/Datos!W10," - ")</f>
        <v>0</v>
      </c>
      <c r="G10" s="516">
        <f>IF(ISNUMBER((Datos!N10-Datos!X10)/Datos!X10),(Datos!N10-Datos!X10)/Datos!X10," - ")</f>
        <v>3.3333333333333335</v>
      </c>
      <c r="H10" s="514">
        <f>IF(ISNUMBER(((NºAsuntos!G10/NºAsuntos!E10)-Datos!BD10)/Datos!BD10),((NºAsuntos!G10/NºAsuntos!E10)-Datos!BD10)/Datos!BD10," - ")</f>
        <v>0.27999999999999992</v>
      </c>
      <c r="I10" s="515">
        <f>IF(ISNUMBER(((NºAsuntos!I10/NºAsuntos!G10)-Datos!BE10)/Datos!BE10),((NºAsuntos!I10/NºAsuntos!G10)-Datos!BE10)/Datos!BE10," - ")</f>
        <v>-0.22851562500000006</v>
      </c>
      <c r="J10" s="521">
        <f>IF(ISNUMBER((('Resol  Asuntos'!D10/NºAsuntos!G10)-Datos!BF10)/Datos!BF10),(('Resol  Asuntos'!D10/NºAsuntos!G10)-Datos!BF10)/Datos!BF10," - ")</f>
        <v>-0.21875</v>
      </c>
      <c r="K10" s="522">
        <f>IF(ISNUMBER((((NºAsuntos!C10+NºAsuntos!E10)/NºAsuntos!G10)-Datos!BG10)/Datos!BG10),(((NºAsuntos!C10+NºAsuntos!E10)/NºAsuntos!G10)-Datos!BG10)/Datos!BG10," - ")</f>
        <v>-0.1741071428571429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0.12665289256198348</v>
      </c>
      <c r="C14" s="1152">
        <f>IF(ISNUMBER(
   IF(J_V="SI",(Datos!J14-Datos!T14)/Datos!T14,(Datos!J14+Datos!Z14-(Datos!T14+Datos!AH14))/(Datos!T14+Datos!AH14))
     ),IF(J_V="SI",(Datos!J14-Datos!T14)/Datos!T14,(Datos!J14+Datos!Z14-(Datos!T14+Datos!AH14))/(Datos!T14+Datos!AH14))," - ")</f>
        <v>-0.31865965834428384</v>
      </c>
      <c r="D14" s="1152">
        <f>IF(ISNUMBER(
   IF(J_V="SI",(Datos!K14-Datos!U14)/Datos!U14,(Datos!K14+Datos!AA14-(Datos!U14+Datos!AI14))/(Datos!U14+Datos!AI14))
     ),IF(J_V="SI",(Datos!K14-Datos!U14)/Datos!U14,(Datos!K14+Datos!AA14-(Datos!U14+Datos!AI14))/(Datos!U14+Datos!AI14))," - ")</f>
        <v>0.28609805238415043</v>
      </c>
      <c r="E14" s="1152">
        <f>IF(ISNUMBER(
   IF(J_V="SI",(Datos!L14-Datos!V14)/Datos!V14,(Datos!L14+Datos!AB14-(Datos!V14+Datos!AJ14))/(Datos!V14+Datos!AJ14))
     ),IF(J_V="SI",(Datos!L14-Datos!V14)/Datos!V14,(Datos!L14+Datos!AB14-(Datos!V14+Datos!AJ14))/(Datos!V14+Datos!AJ14))," - ")</f>
        <v>-5.2836371083350396E-2</v>
      </c>
      <c r="F14" s="1153">
        <f>IF(ISNUMBER((Datos!M14-Datos!W14)/Datos!W14),(Datos!M14-Datos!W14)/Datos!W14," - ")</f>
        <v>8.5790884718498661E-2</v>
      </c>
      <c r="G14" s="1154">
        <f>IF(ISNUMBER((Datos!N14-Datos!X14)/Datos!X14),(Datos!N14-Datos!X14)/Datos!X14," - ")</f>
        <v>0.25544267053701014</v>
      </c>
      <c r="H14" s="1154">
        <f>IF(ISNUMBER(((NºAsuntos!G14/NºAsuntos!E14)-Datos!BD14)/Datos!BD14),((NºAsuntos!G14/NºAsuntos!E14)-Datos!BD14)/Datos!BD14," - ")</f>
        <v>0.88760003445388336</v>
      </c>
      <c r="I14" s="1154">
        <f>IF(ISNUMBER(((NºAsuntos!I14/NºAsuntos!G14)-Datos!BE14)/Datos!BE14),((NºAsuntos!I14/NºAsuntos!G14)-Datos!BE14)/Datos!BE14," - ")</f>
        <v>-0.26353700080580084</v>
      </c>
      <c r="J14" s="1154">
        <f>IF(ISNUMBER((('Resol  Asuntos'!D14/NºAsuntos!G14)-Datos!BF14)/Datos!BF14),(('Resol  Asuntos'!D14/NºAsuntos!G14)-Datos!BF14)/Datos!BF14," - ")</f>
        <v>-0.54819798389966701</v>
      </c>
      <c r="K14" s="1154">
        <f>IF(ISNUMBER((((NºAsuntos!C14+NºAsuntos!E14)/NºAsuntos!G14)-Datos!BG14)/Datos!BG14),(((NºAsuntos!C14+NºAsuntos!E14)/NºAsuntos!G14)-Datos!BG14)/Datos!BG14," - ")</f>
        <v>-0.20681050919994121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5.1972157772621812E-2</v>
      </c>
      <c r="C16" s="515">
        <f>IF(ISNUMBER(
   IF(D_I="SI",(Datos!J16-Datos!T16)/Datos!T16,(Datos!J16+Datos!AD16-(Datos!T16+Datos!AL16))/(Datos!T16+Datos!AL16))
     ),IF(D_I="SI",(Datos!J16-Datos!T16)/Datos!T16,(Datos!J16+Datos!AD16-(Datos!T16+Datos!AL16))/(Datos!T16+Datos!AL16))," - ")</f>
        <v>-0.125948406676783</v>
      </c>
      <c r="D16" s="515">
        <f>IF(ISNUMBER(
   IF(D_I="SI",(Datos!K16-Datos!U16)/Datos!U16,(Datos!K16+Datos!AE16-(Datos!U16+Datos!AM16))/(Datos!U16+Datos!AM16))
     ),IF(D_I="SI",(Datos!K16-Datos!U16)/Datos!U16,(Datos!K16+Datos!AE16-(Datos!U16+Datos!AM16))/(Datos!U16+Datos!AM16))," - ")</f>
        <v>-6.8181818181818177E-2</v>
      </c>
      <c r="E16" s="515">
        <f>IF(ISNUMBER(
   IF(D_I="SI",(Datos!L16-Datos!V16)/Datos!V16,(Datos!L16+Datos!AF16-(Datos!V16+Datos!AN16))/(Datos!V16+Datos!AN16))
     ),IF(D_I="SI",(Datos!L16-Datos!V16)/Datos!V16,(Datos!L16+Datos!AF16-(Datos!V16+Datos!AN16))/(Datos!V16+Datos!AN16))," - ")</f>
        <v>2.2266204849084613E-2</v>
      </c>
      <c r="F16" s="515">
        <f>IF(ISNUMBER((Datos!M16-Datos!W16)/Datos!W16),(Datos!M16-Datos!W16)/Datos!W16," - ")</f>
        <v>7.3170731707317069E-2</v>
      </c>
      <c r="G16" s="516">
        <f>IF(ISNUMBER((Datos!N16-Datos!X16)/Datos!X16),(Datos!N16-Datos!X16)/Datos!X16," - ")</f>
        <v>-3.8548752834467119E-2</v>
      </c>
      <c r="H16" s="514">
        <f>IF(ISNUMBER(((NºAsuntos!G16/NºAsuntos!E16)-Datos!BD16)/Datos!BD16),((NºAsuntos!G16/NºAsuntos!E16)-Datos!BD16)/Datos!BD16," - ")</f>
        <v>6.6090593434343398E-2</v>
      </c>
      <c r="I16" s="515">
        <f>IF(ISNUMBER(((NºAsuntos!I16/NºAsuntos!G16)-Datos!BE16)/Datos!BE16),((NºAsuntos!I16/NºAsuntos!G16)-Datos!BE16)/Datos!BE16," - ")</f>
        <v>9.706617105755419E-2</v>
      </c>
      <c r="J16" s="521">
        <f>IF(ISNUMBER((('Resol  Asuntos'!D16/NºAsuntos!G16)-Datos!BF16)/Datos!BF16),(('Resol  Asuntos'!D16/NºAsuntos!G16)-Datos!BF16)/Datos!BF16," - ")</f>
        <v>0.1516954193932184</v>
      </c>
      <c r="K16" s="522">
        <f>IF(ISNUMBER((((NºAsuntos!C16+NºAsuntos!E16)/NºAsuntos!G16)-Datos!BG16)/Datos!BG16),(((NºAsuntos!C16+NºAsuntos!E16)/NºAsuntos!G16)-Datos!BG16)/Datos!BG16," - ")</f>
        <v>5.6484518199630483E-2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-0.5714285714285714</v>
      </c>
      <c r="C17" s="515" t="str">
        <f>IF(ISNUMBER(
   IF(D_I="SI",(Datos!J17-Datos!T17)/Datos!T17,(Datos!J17+Datos!AD17-(Datos!T17+Datos!AL17))/(Datos!T17+Datos!AL17))
     ),IF(D_I="SI",(Datos!J17-Datos!T17)/Datos!T17,(Datos!J17+Datos!AD17-(Datos!T17+Datos!AL17))/(Datos!T17+Datos!AL17))," - ")</f>
        <v xml:space="preserve"> - </v>
      </c>
      <c r="D17" s="515">
        <f>IF(ISNUMBER(
   IF(D_I="SI",(Datos!K17-Datos!U17)/Datos!U17,(Datos!K17+Datos!AE17-(Datos!U17+Datos!AM17))/(Datos!U17+Datos!AM17))
     ),IF(D_I="SI",(Datos!K17-Datos!U17)/Datos!U17,(Datos!K17+Datos!AE17-(Datos!U17+Datos!AM17))/(Datos!U17+Datos!AM17))," - ")</f>
        <v>-1</v>
      </c>
      <c r="E17" s="515">
        <f>IF(ISNUMBER(
   IF(D_I="SI",(Datos!L17-Datos!V17)/Datos!V17,(Datos!L17+Datos!AF17-(Datos!V17+Datos!AN17))/(Datos!V17+Datos!AN17))
     ),IF(D_I="SI",(Datos!L17-Datos!V17)/Datos!V17,(Datos!L17+Datos!AF17-(Datos!V17+Datos!AN17))/(Datos!V17+Datos!AN17))," - ")</f>
        <v>-0.5</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-0.16908212560386474</v>
      </c>
      <c r="C18" s="515">
        <f>IF(ISNUMBER(
   IF(D_I="SI",(Datos!J18-Datos!T18)/Datos!T18,(Datos!J18+Datos!AD18-(Datos!T18+Datos!AL18))/(Datos!T18+Datos!AL18))
     ),IF(D_I="SI",(Datos!J18-Datos!T18)/Datos!T18,(Datos!J18+Datos!AD18-(Datos!T18+Datos!AL18))/(Datos!T18+Datos!AL18))," - ")</f>
        <v>-1.1764705882352941E-2</v>
      </c>
      <c r="D18" s="515">
        <f>IF(ISNUMBER(
   IF(D_I="SI",(Datos!K18-Datos!U18)/Datos!U18,(Datos!K18+Datos!AE18-(Datos!U18+Datos!AM18))/(Datos!U18+Datos!AM18))
     ),IF(D_I="SI",(Datos!K18-Datos!U18)/Datos!U18,(Datos!K18+Datos!AE18-(Datos!U18+Datos!AM18))/(Datos!U18+Datos!AM18))," - ")</f>
        <v>-1.8957345971563982E-2</v>
      </c>
      <c r="E18" s="515">
        <f>IF(ISNUMBER(
   IF(D_I="SI",(Datos!L18-Datos!V18)/Datos!V18,(Datos!L18+Datos!AF18-(Datos!V18+Datos!AN18))/(Datos!V18+Datos!AN18))
     ),IF(D_I="SI",(Datos!L18-Datos!V18)/Datos!V18,(Datos!L18+Datos!AF18-(Datos!V18+Datos!AN18))/(Datos!V18+Datos!AN18))," - ")</f>
        <v>-0.19879518072289157</v>
      </c>
      <c r="F18" s="515">
        <f>IF(ISNUMBER((Datos!M18-Datos!W18)/Datos!W18),(Datos!M18-Datos!W18)/Datos!W18," - ")</f>
        <v>0.42222222222222222</v>
      </c>
      <c r="G18" s="516">
        <f>IF(ISNUMBER((Datos!N18-Datos!X18)/Datos!X18),(Datos!N18-Datos!X18)/Datos!X18," - ")</f>
        <v>-5.9523809523809521E-2</v>
      </c>
      <c r="H18" s="514">
        <f>IF(ISNUMBER(((NºAsuntos!G18/NºAsuntos!E18)-Datos!BD18)/Datos!BD18),((NºAsuntos!G18/NºAsuntos!E18)-Datos!BD18)/Datos!BD18," - ")</f>
        <v>-7.2782667569397169E-3</v>
      </c>
      <c r="I18" s="515">
        <f>IF(ISNUMBER(((NºAsuntos!I18/NºAsuntos!G18)-Datos!BE18)/Datos!BE18),((NºAsuntos!I18/NºAsuntos!G18)-Datos!BE18)/Datos!BE18," - ")</f>
        <v>-0.1833129619928992</v>
      </c>
      <c r="J18" s="521">
        <f>IF(ISNUMBER((('Resol  Asuntos'!D18/NºAsuntos!G18)-Datos!BF18)/Datos!BF18),(('Resol  Asuntos'!D18/NºAsuntos!G18)-Datos!BF18)/Datos!BF18," - ")</f>
        <v>0.44970477724100899</v>
      </c>
      <c r="K18" s="522">
        <f>IF(ISNUMBER((((NºAsuntos!C18+NºAsuntos!E18)/NºAsuntos!G18)-Datos!BG18)/Datos!BG18),(((NºAsuntos!C18+NºAsuntos!E18)/NºAsuntos!G18)-Datos!BG18)/Datos!BG18," - ")</f>
        <v>-8.0716052230295085E-2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3.0814689742507388E-2</v>
      </c>
      <c r="C23" s="1152">
        <f>IF(ISNUMBER(
   IF(Criterios!B14="SI",(Datos!J23-Datos!T23)/Datos!T23,(Datos!J23+Datos!AD23-(Datos!T23+Datos!AL23))/(Datos!T23+Datos!AL23))
     ),IF(Criterios!B14="SI",(Datos!J23-Datos!T23)/Datos!T23,(Datos!J23+Datos!AD23-(Datos!T23+Datos!AL23))/(Datos!T23+Datos!AL23))," - ")</f>
        <v>-0.11290322580645161</v>
      </c>
      <c r="D23" s="1152">
        <f>IF(ISNUMBER(
   IF(Criterios!B14="SI",(Datos!K23-Datos!U23)/Datos!U23,(Datos!K23+Datos!AE23-(Datos!U23+Datos!AM23))/(Datos!U23+Datos!AM23))
     ),IF(Criterios!B14="SI",(Datos!K23-Datos!U23)/Datos!U23,(Datos!K23+Datos!AE23-(Datos!U23+Datos!AM23))/(Datos!U23+Datos!AM23))," - ")</f>
        <v>-6.25E-2</v>
      </c>
      <c r="E23" s="1152">
        <f>IF(ISNUMBER(
   IF(Criterios!B14="SI",(Datos!L23-Datos!V23)/Datos!V23,(Datos!L23+Datos!AF23-(Datos!V23+Datos!AN23))/(Datos!V23+Datos!AN23))
     ),IF(Criterios!B14="SI",(Datos!L23-Datos!V23)/Datos!V23,(Datos!L23+Datos!AF23-(Datos!V23+Datos!AN23))/(Datos!V23+Datos!AN23))," - ")</f>
        <v>4.1039671682626538E-3</v>
      </c>
      <c r="F23" s="1153">
        <f>IF(ISNUMBER((Datos!M23-Datos!W23)/Datos!W23),(Datos!M23-Datos!W23)/Datos!W23," - ")</f>
        <v>0.14832535885167464</v>
      </c>
      <c r="G23" s="1154">
        <f>IF(ISNUMBER((Datos!N23-Datos!X23)/Datos!X23),(Datos!N23-Datos!X23)/Datos!X23," - ")</f>
        <v>-4.0372670807453416E-2</v>
      </c>
      <c r="H23" s="1154">
        <f>IF(ISNUMBER(((NºAsuntos!G23/NºAsuntos!E23)-Datos!BD23)/Datos!BD23),((NºAsuntos!G23/NºAsuntos!E23)-Datos!BD23)/Datos!BD23," - ")</f>
        <v>5.6818181818181969E-2</v>
      </c>
      <c r="I23" s="1154">
        <f>IF(ISNUMBER(((NºAsuntos!I23/NºAsuntos!G23)-Datos!BE23)/Datos!BE23),((NºAsuntos!I23/NºAsuntos!G23)-Datos!BE23)/Datos!BE23," - ")</f>
        <v>7.1044231646146982E-2</v>
      </c>
      <c r="J23" s="1154">
        <f>IF(ISNUMBER((('Resol  Asuntos'!D23/NºAsuntos!G23)-Datos!BF23)/Datos!BF23),(('Resol  Asuntos'!D23/NºAsuntos!G23)-Datos!BF23)/Datos!BF23," - ")</f>
        <v>0.22488038277511971</v>
      </c>
      <c r="K23" s="1154">
        <f>IF(ISNUMBER((((NºAsuntos!C23+NºAsuntos!E23)/NºAsuntos!G23)-Datos!BG23)/Datos!BG23),(((NºAsuntos!C23+NºAsuntos!E23)/NºAsuntos!G23)-Datos!BG23)/Datos!BG23," - ")</f>
        <v>4.0394088669950728E-2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9.5158829241226248E-2</v>
      </c>
      <c r="C31" s="1092">
        <f>IF(ISNUMBER(
   IF(J_V="SI",(Datos!J31-Datos!T31)/Datos!T31,(Datos!J31+Datos!Z31-(Datos!T31+Datos!AH31))/(Datos!T31+Datos!AH31))
     ),IF(J_V="SI",(Datos!J31-Datos!T31)/Datos!T31,(Datos!J31+Datos!Z31-(Datos!T31+Datos!AH31))/(Datos!T31+Datos!AH31))," - ")</f>
        <v>-0.21694352159468439</v>
      </c>
      <c r="D31" s="1092">
        <f>IF(ISNUMBER(
   IF(J_V="SI",(Datos!K31-Datos!U31)/Datos!U31,(Datos!K31+Datos!AA31-(Datos!U31+Datos!AI31))/(Datos!U31+Datos!AI31))
     ),IF(J_V="SI",(Datos!K31-Datos!U31)/Datos!U31,(Datos!K31+Datos!AA31-(Datos!U31+Datos!AI31))/(Datos!U31+Datos!AI31))," - ")</f>
        <v>0.10212496035521726</v>
      </c>
      <c r="E31" s="1092">
        <f>IF(ISNUMBER(
   IF(J_V="SI",(Datos!L31-Datos!V31)/Datos!V31,(Datos!L31+Datos!AB31-(Datos!V31+Datos!AJ31))/(Datos!V31+Datos!AJ31))
     ),IF(J_V="SI",(Datos!L31-Datos!V31)/Datos!V31,(Datos!L31+Datos!AB31-(Datos!V31+Datos!AJ31))/(Datos!V31+Datos!AJ31))," - ")</f>
        <v>-3.518937252685133E-2</v>
      </c>
      <c r="F31" s="1093">
        <f>IF(ISNUMBER((Datos!M31-Datos!W31)/Datos!W31),(Datos!M31-Datos!W31)/Datos!W31," - ")</f>
        <v>0.10824742268041238</v>
      </c>
      <c r="G31" s="1094">
        <f>IF(ISNUMBER((Datos!N31-Datos!X31)/Datos!X31),(Datos!N31-Datos!X31)/Datos!X31," - ")</f>
        <v>8.2779456193353473E-2</v>
      </c>
      <c r="H31" s="1095">
        <f>IF(ISNUMBER((Tasas!B31-Datos!BD31)/Datos!BD31),(Tasas!B31-Datos!BD31)/Datos!BD31," - ")</f>
        <v>0.40746547758557655</v>
      </c>
      <c r="I31" s="1096">
        <f>IF(ISNUMBER((Tasas!C31-Datos!BE31)/Datos!BE31),(Tasas!C31-Datos!BE31)/Datos!BE31," - ")</f>
        <v>-0.12459052995026255</v>
      </c>
      <c r="J31" s="1097">
        <f>IF(ISNUMBER((Tasas!D31-Datos!BF31)/Datos!BF31),(Tasas!D31-Datos!BF31)/Datos!BF31," - ")</f>
        <v>-0.35404735813997817</v>
      </c>
      <c r="K31" s="1097">
        <f>IF(ISNUMBER((Tasas!E31-Datos!BG31)/Datos!BG31),(Tasas!E31-Datos!BG31)/Datos!BG31," - ")</f>
        <v>-8.9731822722661503E-2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8rzF8EqHvB/I6ndc6EZnrSFf7pKkgxpEVgxoId80/jo9Z76hR5oQ+u1WorcUayB7N8qiyJGjQ7rqGiAuruZEw==" saltValue="2OQ4moS7jLbRvGISrWQ5+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INCA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1.8643564356435645</v>
      </c>
      <c r="C9" s="498">
        <f>IF(ISNUMBER(NºAsuntos!I9/NºAsuntos!G9),NºAsuntos!I9/NºAsuntos!G9," - ")</f>
        <v>2.4142326075411575</v>
      </c>
      <c r="D9" s="499">
        <f>IF(ISNUMBER('Resol  Asuntos'!D9/NºAsuntos!G9),'Resol  Asuntos'!D9/NºAsuntos!G9," - ")</f>
        <v>0.2092405735528412</v>
      </c>
      <c r="E9" s="500">
        <f>IF(ISNUMBER((NºAsuntos!C9+NºAsuntos!E9)/NºAsuntos!G9),(NºAsuntos!C9+NºAsuntos!E9)/NºAsuntos!G9," - ")</f>
        <v>3.3876792352628784</v>
      </c>
      <c r="G9" s="523"/>
    </row>
    <row r="10" spans="1:7">
      <c r="A10" s="450" t="str">
        <f>Datos!A10</f>
        <v>Jdos. Violencia contra la mujer</v>
      </c>
      <c r="B10" s="497">
        <f>IF(ISNUMBER(NºAsuntos!G10/NºAsuntos!E10),NºAsuntos!G10/NºAsuntos!E10," - ")</f>
        <v>1.1851851851851851</v>
      </c>
      <c r="C10" s="498">
        <f>IF(ISNUMBER(NºAsuntos!I10/NºAsuntos!G10),NºAsuntos!I10/NºAsuntos!G10," - ")</f>
        <v>2.46875</v>
      </c>
      <c r="D10" s="499">
        <f>IF(ISNUMBER('Resol  Asuntos'!D10/NºAsuntos!G10),'Resol  Asuntos'!D10/NºAsuntos!G10," - ")</f>
        <v>0.34375</v>
      </c>
      <c r="E10" s="500">
        <f>IF(ISNUMBER((NºAsuntos!C10+NºAsuntos!E10)/NºAsuntos!G10),(NºAsuntos!C10+NºAsuntos!E10)/NºAsuntos!G10," - ")</f>
        <v>3.46875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1.8466730954676953</v>
      </c>
      <c r="C14" s="1156">
        <f>IF(ISNUMBER(NºAsuntos!I14/NºAsuntos!G14),NºAsuntos!I14/NºAsuntos!G14," - ")</f>
        <v>2.4151436031331595</v>
      </c>
      <c r="D14" s="1157">
        <f>IF(ISNUMBER('Resol  Asuntos'!D14/NºAsuntos!G14),'Resol  Asuntos'!D14/NºAsuntos!G14," - ")</f>
        <v>0.21148825065274152</v>
      </c>
      <c r="E14" s="1158">
        <f>IF(ISNUMBER((NºAsuntos!C14+NºAsuntos!E14)/NºAsuntos!G14),(NºAsuntos!C14+NºAsuntos!E14)/NºAsuntos!G14," - ")</f>
        <v>3.3890339425587466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1.1744791666666667</v>
      </c>
      <c r="C16" s="498">
        <f>IF(ISNUMBER(NºAsuntos!I16/NºAsuntos!G16),NºAsuntos!I16/NºAsuntos!G16," - ")</f>
        <v>1.5269770879526976</v>
      </c>
      <c r="D16" s="499">
        <f>IF(ISNUMBER('Resol  Asuntos'!D16/NºAsuntos!G16),'Resol  Asuntos'!D16/NºAsuntos!G16," - ")</f>
        <v>0.13008130081300814</v>
      </c>
      <c r="E16" s="500">
        <f>IF(ISNUMBER((NºAsuntos!C16+NºAsuntos!E16)/NºAsuntos!G16),(NºAsuntos!C16+NºAsuntos!E16)/NºAsuntos!G16," - ")</f>
        <v>2.5269770879526976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1.2321428571428572</v>
      </c>
      <c r="C18" s="498">
        <f>IF(ISNUMBER(NºAsuntos!I18/NºAsuntos!G18),NºAsuntos!I18/NºAsuntos!G18," - ")</f>
        <v>0.64251207729468596</v>
      </c>
      <c r="D18" s="499">
        <f>IF(ISNUMBER('Resol  Asuntos'!D18/NºAsuntos!G18),'Resol  Asuntos'!D18/NºAsuntos!G18," - ")</f>
        <v>0.30917874396135264</v>
      </c>
      <c r="E18" s="500">
        <f>IF(ISNUMBER((NºAsuntos!C18+NºAsuntos!E18)/NºAsuntos!G18),(NºAsuntos!C18+NºAsuntos!E18)/NºAsuntos!G18," - ")</f>
        <v>1.642512077294686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1.1818181818181819</v>
      </c>
      <c r="C23" s="1156">
        <f>IF(ISNUMBER(NºAsuntos!I23/NºAsuntos!G23),NºAsuntos!I23/NºAsuntos!G23," - ")</f>
        <v>1.4115384615384616</v>
      </c>
      <c r="D23" s="1159">
        <f>IF(ISNUMBER('Resol  Asuntos'!D23/NºAsuntos!G23),'Resol  Asuntos'!D23/NºAsuntos!G23," - ")</f>
        <v>0.15384615384615385</v>
      </c>
      <c r="E23" s="1158">
        <f>IF(ISNUMBER((NºAsuntos!C23+NºAsuntos!E23)/NºAsuntos!G23),(NºAsuntos!C23+NºAsuntos!E23)/NºAsuntos!G23," - ")</f>
        <v>2.4115384615384614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1.4743317776834959</v>
      </c>
      <c r="C31" s="1099">
        <f>IF(ISNUMBER(NºAsuntos!I31/NºAsuntos!G31),NºAsuntos!I31/NºAsuntos!G31," - ")</f>
        <v>1.9646043165467626</v>
      </c>
      <c r="D31" s="1100">
        <f>IF(ISNUMBER('Resol  Asuntos'!D31/NºAsuntos!G31),'Resol  Asuntos'!D31/NºAsuntos!G31," - ")</f>
        <v>0.1856115107913669</v>
      </c>
      <c r="E31" s="1101">
        <f>IF(ISNUMBER((NºAsuntos!C31+NºAsuntos!E31)/NºAsuntos!G31),(NºAsuntos!C31+NºAsuntos!E31)/NºAsuntos!G31," - ")</f>
        <v>2.9502158273381296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gVu55rM5Ljgnh/biOOUmWCD1c7SN8ALKo0UzCBhFPAkUL4uU004ZwpeCqSKCNKXxxcAlKvMiZoSOgfOfp8Ftg==" saltValue="uCoNNyDKNNwQUA/Iqj+Pf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INCA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150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421</v>
      </c>
      <c r="Y9" s="374">
        <f>SUM(W9:X9)</f>
        <v>421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7640</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394</v>
      </c>
      <c r="AJ9" s="243" t="str">
        <f>IF(ISNUMBER(Datos!BW9),Datos!BW9," - ")</f>
        <v xml:space="preserve"> - </v>
      </c>
      <c r="AK9" s="242" t="str">
        <f>IF(ISNUMBER(Datos!BX9),Datos!BX9," - ")</f>
        <v xml:space="preserve"> - </v>
      </c>
      <c r="AL9" s="266">
        <f>IF(ISNUMBER(NºAsuntos!G9/NºAsuntos!E9),NºAsuntos!G9/NºAsuntos!E9," - ")</f>
        <v>1.8643564356435645</v>
      </c>
      <c r="AM9" s="284">
        <f>IF(ISNUMBER(((NºAsuntos!I9/NºAsuntos!G9)*11)/factor_trimestre),((NºAsuntos!I9/NºAsuntos!G9)*11)/factor_trimestre," - ")</f>
        <v>7.2426978226234731</v>
      </c>
      <c r="AN9" s="267">
        <f>IF(ISNUMBER('Resol  Asuntos'!D9/NºAsuntos!G9),'Resol  Asuntos'!D9/NºAsuntos!G9," - ")</f>
        <v>0.2092405735528412</v>
      </c>
      <c r="AO9" s="268">
        <f>IF(ISNUMBER((NºAsuntos!C9+NºAsuntos!E9)/NºAsuntos!G9),(NºAsuntos!C9+NºAsuntos!E9)/NºAsuntos!G9," - ")</f>
        <v>3.3876792352628784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84</v>
      </c>
      <c r="G10" s="373">
        <f>IF(ISNUMBER(Datos!I10),Datos!I10," - ")</f>
        <v>84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32</v>
      </c>
      <c r="X10" s="240">
        <f>IF(ISNUMBER(Datos!Q10),Datos!Q10," - ")</f>
        <v>0</v>
      </c>
      <c r="Y10" s="374">
        <f t="shared" ref="Y10:Y13" si="0">SUM(W10:X10)</f>
        <v>32</v>
      </c>
      <c r="Z10" s="375" t="str">
        <f>IF(ISNUMBER(Datos!CC10),Datos!CC10," - ")</f>
        <v xml:space="preserve"> - </v>
      </c>
      <c r="AA10" s="372">
        <f>IF(ISNUMBER(Datos!L10),Datos!L10,"-")</f>
        <v>79</v>
      </c>
      <c r="AB10" s="374">
        <f>IF(ISNUMBER(Datos!R10),Datos!R10," - ")</f>
        <v>32</v>
      </c>
      <c r="AC10" s="374">
        <f t="shared" ref="AC10:AC13" si="1">IF(ISNUMBER(AA10+AB10),AA10+AB10," - ")</f>
        <v>111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1.1851851851851851</v>
      </c>
      <c r="AM10" s="284">
        <f>IF(ISNUMBER(((NºAsuntos!I10/NºAsuntos!G10)*11)/factor_trimestre),((NºAsuntos!I10/NºAsuntos!G10)*11)/factor_trimestre," - ")</f>
        <v>7.40625</v>
      </c>
      <c r="AN10" s="267">
        <f>IF(ISNUMBER('Resol  Asuntos'!D10/NºAsuntos!G10),'Resol  Asuntos'!D10/NºAsuntos!G10," - ")</f>
        <v>0.34375</v>
      </c>
      <c r="AO10" s="268">
        <f>IF(ISNUMBER((NºAsuntos!C10+NºAsuntos!E10)/NºAsuntos!G10),(NºAsuntos!C10+NºAsuntos!E10)/NºAsuntos!G10," - ")</f>
        <v>3.46875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84</v>
      </c>
      <c r="G14" s="1163">
        <f t="shared" si="5"/>
        <v>84</v>
      </c>
      <c r="H14" s="1162">
        <f t="shared" si="5"/>
        <v>0</v>
      </c>
      <c r="I14" s="1164">
        <f t="shared" si="5"/>
        <v>0</v>
      </c>
      <c r="J14" s="1164">
        <f t="shared" si="5"/>
        <v>0</v>
      </c>
      <c r="K14" s="1164">
        <f t="shared" si="5"/>
        <v>0</v>
      </c>
      <c r="L14" s="1164">
        <f t="shared" si="5"/>
        <v>153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32</v>
      </c>
      <c r="X14" s="1164">
        <f t="shared" si="6"/>
        <v>421</v>
      </c>
      <c r="Y14" s="1165">
        <f t="shared" si="6"/>
        <v>453</v>
      </c>
      <c r="Z14" s="1165">
        <f t="shared" si="6"/>
        <v>0</v>
      </c>
      <c r="AA14" s="1165">
        <f t="shared" si="6"/>
        <v>79</v>
      </c>
      <c r="AB14" s="1165">
        <f t="shared" si="6"/>
        <v>7672</v>
      </c>
      <c r="AC14" s="1165">
        <f t="shared" si="6"/>
        <v>111</v>
      </c>
      <c r="AD14" s="1165">
        <f t="shared" si="6"/>
        <v>0</v>
      </c>
      <c r="AE14" s="1169">
        <f t="shared" si="6"/>
        <v>0</v>
      </c>
      <c r="AF14" s="1162">
        <f t="shared" si="6"/>
        <v>0</v>
      </c>
      <c r="AG14" s="1170">
        <f t="shared" si="6"/>
        <v>0</v>
      </c>
      <c r="AH14" s="1167">
        <f t="shared" si="6"/>
        <v>0</v>
      </c>
      <c r="AI14" s="1162">
        <f t="shared" si="6"/>
        <v>405</v>
      </c>
      <c r="AJ14" s="1164">
        <f t="shared" si="6"/>
        <v>0</v>
      </c>
      <c r="AK14" s="1167">
        <f>SUBTOTAL(9,AK9:AK13)</f>
        <v>0</v>
      </c>
      <c r="AL14" s="1171">
        <f>IF(ISNUMBER(NºAsuntos!G14/NºAsuntos!E14),NºAsuntos!G14/NºAsuntos!E14," - ")</f>
        <v>1.8466730954676953</v>
      </c>
      <c r="AM14" s="1171">
        <f>IF(ISNUMBER(((NºAsuntos!I14/NºAsuntos!G14)*11)/factor_trimestre),((NºAsuntos!I14/NºAsuntos!G14)*11)/factor_trimestre," - ")</f>
        <v>7.2454308093994788</v>
      </c>
      <c r="AN14" s="1172">
        <f>IF(ISNUMBER('Resol  Asuntos'!D14/NºAsuntos!G14),'Resol  Asuntos'!D14/NºAsuntos!G14," - ")</f>
        <v>0.21148825065274152</v>
      </c>
      <c r="AO14" s="1173">
        <f>IF(ISNUMBER((NºAsuntos!C14+NºAsuntos!E14)/NºAsuntos!G14),(NºAsuntos!C14+NºAsuntos!E14)/NºAsuntos!G14," - ")</f>
        <v>3.3890339425587466</v>
      </c>
      <c r="AP14" s="1174" t="str">
        <f t="shared" si="2"/>
        <v xml:space="preserve"> - </v>
      </c>
      <c r="AQ14" s="1174">
        <f>IF(ISNUMBER((H14-W14+K14)/(F14)),(H14-W14+K14)/(F14)," - ")</f>
        <v>-0.38095238095238093</v>
      </c>
      <c r="AR14" s="1175">
        <f>IF(ISNUMBER((Datos!P14-Datos!Q14)/(Datos!R14-Datos!P14+Datos!Q14)),(Datos!P14-Datos!Q14)/(Datos!R14-Datos!P14+Datos!Q14)," - ")</f>
        <v>-3.3753148614609575E-2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2267</v>
      </c>
      <c r="G16" s="373">
        <f>IF(ISNUMBER(IF(D_I="SI",Datos!I16,Datos!I16+Datos!AC16)),IF(D_I="SI",Datos!I16,Datos!I16+Datos!AC16)," - ")</f>
        <v>2267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1353</v>
      </c>
      <c r="X16" s="240">
        <f>IF(ISNUMBER(Datos!Q16),Datos!Q16," - ")</f>
        <v>35</v>
      </c>
      <c r="Y16" s="374">
        <f>SUM(W16)</f>
        <v>1353</v>
      </c>
      <c r="Z16" s="375" t="str">
        <f>IF(ISNUMBER(Datos!CC16),Datos!CC16," - ")</f>
        <v xml:space="preserve"> - </v>
      </c>
      <c r="AA16" s="372">
        <f>IF(ISNUMBER(IF(D_I="SI",Datos!L16,Datos!L16+Datos!AF16)),IF(D_I="SI",Datos!L16,Datos!L16+Datos!AF16)," - ")</f>
        <v>2066</v>
      </c>
      <c r="AB16" s="374">
        <f>IF(ISNUMBER(Datos!R16),Datos!R16," - ")</f>
        <v>263</v>
      </c>
      <c r="AC16" s="374">
        <f t="shared" ref="AC16:AC22" si="8">IF(ISNUMBER(AA16+AB16),AA16+AB16," - ")</f>
        <v>2329</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176</v>
      </c>
      <c r="AJ16" s="245" t="str">
        <f>IF(ISNUMBER(Datos!BW16),Datos!BW16," - ")</f>
        <v xml:space="preserve"> - </v>
      </c>
      <c r="AK16" s="246" t="str">
        <f>IF(ISNUMBER(Datos!BX16),Datos!BX16," - ")</f>
        <v xml:space="preserve"> - </v>
      </c>
      <c r="AL16" s="266">
        <f>IF(ISNUMBER(NºAsuntos!G16/NºAsuntos!E16),NºAsuntos!G16/NºAsuntos!E16," - ")</f>
        <v>1.1744791666666667</v>
      </c>
      <c r="AM16" s="284">
        <f>IF(ISNUMBER(((NºAsuntos!I16/NºAsuntos!G16)*11)/factor_trimestre),((NºAsuntos!I16/NºAsuntos!G16)*11)/factor_trimestre," - ")</f>
        <v>4.5809312638580932</v>
      </c>
      <c r="AN16" s="267">
        <f>IF(ISNUMBER('Resol  Asuntos'!D16/NºAsuntos!G16),'Resol  Asuntos'!D16/NºAsuntos!G16," - ")</f>
        <v>0.13008130081300814</v>
      </c>
      <c r="AO16" s="268">
        <f>IF(ISNUMBER((NºAsuntos!C16+NºAsuntos!E16)/NºAsuntos!G16),(NºAsuntos!C16+NºAsuntos!E16)/NºAsuntos!G16," - ")</f>
        <v>2.5269770879526976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3</v>
      </c>
      <c r="G17" s="373">
        <f>IF(ISNUMBER(IF(D_I="SI",Datos!I17,Datos!I17+Datos!AC17)),IF(D_I="SI",Datos!I17,Datos!I17+Datos!AC17)," - ")</f>
        <v>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3</v>
      </c>
      <c r="AB17" s="374">
        <f>IF(ISNUMBER(Datos!R17),Datos!R17," - ")</f>
        <v>2</v>
      </c>
      <c r="AC17" s="374">
        <f t="shared" si="8"/>
        <v>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207</v>
      </c>
      <c r="X18" s="240">
        <f>IF(ISNUMBER(Datos!Q18),Datos!Q18," - ")</f>
        <v>2</v>
      </c>
      <c r="Y18" s="374">
        <f t="shared" si="9"/>
        <v>209</v>
      </c>
      <c r="Z18" s="375" t="str">
        <f>IF(ISNUMBER(Datos!CC18),Datos!CC18," - ")</f>
        <v xml:space="preserve"> - </v>
      </c>
      <c r="AA18" s="372">
        <f>IF(ISNUMBER(Datos!L18),Datos!L18,"-")</f>
        <v>133</v>
      </c>
      <c r="AB18" s="374">
        <f>IF(ISNUMBER(Datos!R18),Datos!R18," - ")</f>
        <v>4</v>
      </c>
      <c r="AC18" s="374">
        <f t="shared" si="8"/>
        <v>137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64</v>
      </c>
      <c r="AJ18" s="245" t="str">
        <f>IF(ISNUMBER(Datos!BW18),Datos!BW18," - ")</f>
        <v xml:space="preserve"> - </v>
      </c>
      <c r="AK18" s="246" t="str">
        <f>IF(ISNUMBER(Datos!BX18),Datos!BX18," - ")</f>
        <v xml:space="preserve"> - </v>
      </c>
      <c r="AL18" s="266">
        <f>IF(ISNUMBER(NºAsuntos!G18/NºAsuntos!E18),NºAsuntos!G18/NºAsuntos!E18," - ")</f>
        <v>1.2321428571428572</v>
      </c>
      <c r="AM18" s="284">
        <f>IF(ISNUMBER(((NºAsuntos!I18/NºAsuntos!G18)*11)/factor_trimestre),((NºAsuntos!I18/NºAsuntos!G18)*11)/factor_trimestre," - ")</f>
        <v>1.9275362318840579</v>
      </c>
      <c r="AN18" s="267">
        <f>IF(ISNUMBER('Resol  Asuntos'!D18/NºAsuntos!G18),'Resol  Asuntos'!D18/NºAsuntos!G18," - ")</f>
        <v>0.30917874396135264</v>
      </c>
      <c r="AO18" s="268">
        <f>IF(ISNUMBER((NºAsuntos!C18+NºAsuntos!E18)/NºAsuntos!G18),(NºAsuntos!C18+NºAsuntos!E18)/NºAsuntos!G18," - ")</f>
        <v>1.642512077294686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2270</v>
      </c>
      <c r="G23" s="1163">
        <f>SUBTOTAL(9,G16:G22)</f>
        <v>2442</v>
      </c>
      <c r="H23" s="1162">
        <f t="shared" ref="H23:O23" si="13">SUBTOTAL(9,H15:H22)</f>
        <v>0</v>
      </c>
      <c r="I23" s="1164">
        <f t="shared" si="13"/>
        <v>0</v>
      </c>
      <c r="J23" s="1164">
        <f t="shared" si="13"/>
        <v>0</v>
      </c>
      <c r="K23" s="1164">
        <f t="shared" si="13"/>
        <v>0</v>
      </c>
      <c r="L23" s="1164">
        <f t="shared" si="13"/>
        <v>54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1560</v>
      </c>
      <c r="X23" s="1164">
        <f t="shared" si="14"/>
        <v>37</v>
      </c>
      <c r="Y23" s="1165">
        <f t="shared" si="14"/>
        <v>1562</v>
      </c>
      <c r="Z23" s="1165">
        <f t="shared" si="14"/>
        <v>0</v>
      </c>
      <c r="AA23" s="1165">
        <f t="shared" si="14"/>
        <v>2202</v>
      </c>
      <c r="AB23" s="1165">
        <f t="shared" si="14"/>
        <v>269</v>
      </c>
      <c r="AC23" s="1165">
        <f t="shared" si="14"/>
        <v>2471</v>
      </c>
      <c r="AD23" s="1165">
        <f t="shared" si="14"/>
        <v>0</v>
      </c>
      <c r="AE23" s="1169">
        <f t="shared" si="14"/>
        <v>0</v>
      </c>
      <c r="AF23" s="1162">
        <f t="shared" si="14"/>
        <v>0</v>
      </c>
      <c r="AG23" s="1170">
        <f t="shared" si="14"/>
        <v>0</v>
      </c>
      <c r="AH23" s="1167">
        <f t="shared" si="14"/>
        <v>0</v>
      </c>
      <c r="AI23" s="1162">
        <f t="shared" si="14"/>
        <v>240</v>
      </c>
      <c r="AJ23" s="1164">
        <f t="shared" si="14"/>
        <v>0</v>
      </c>
      <c r="AK23" s="1167">
        <f t="shared" si="14"/>
        <v>0</v>
      </c>
      <c r="AL23" s="1171">
        <f>IF(ISNUMBER(NºAsuntos!G23/NºAsuntos!E23),NºAsuntos!G23/NºAsuntos!E23," - ")</f>
        <v>1.1818181818181819</v>
      </c>
      <c r="AM23" s="1171">
        <f>IF(ISNUMBER(((NºAsuntos!I23/NºAsuntos!G23)*11)/factor_trimestre),((NºAsuntos!I23/NºAsuntos!G23)*11)/factor_trimestre," - ")</f>
        <v>4.2346153846153847</v>
      </c>
      <c r="AN23" s="1172">
        <f>IF(ISNUMBER('Resol  Asuntos'!D23/NºAsuntos!G23),'Resol  Asuntos'!D23/NºAsuntos!G23," - ")</f>
        <v>0.15384615384615385</v>
      </c>
      <c r="AO23" s="1173">
        <f>IF(ISNUMBER((NºAsuntos!C23+NºAsuntos!E23)/NºAsuntos!G23),(NºAsuntos!C23+NºAsuntos!E23)/NºAsuntos!G23," - ")</f>
        <v>2.4115384615384614</v>
      </c>
      <c r="AP23" s="1174" t="str">
        <f t="shared" si="2"/>
        <v xml:space="preserve"> - </v>
      </c>
      <c r="AQ23" s="1174">
        <f>IF(ISNUMBER((H23-W23+K23)/(F23)),(H23-W23+K23)/(F23)," - ")</f>
        <v>-0.68722466960352424</v>
      </c>
      <c r="AR23" s="1175">
        <f>IF(ISNUMBER((Datos!P23-Datos!Q23)/(Datos!R23-Datos!P23+Datos!Q23)),(Datos!P23-Datos!Q23)/(Datos!R23-Datos!P23+Datos!Q23)," - ")</f>
        <v>6.7460317460317457E-2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2354</v>
      </c>
      <c r="G31" s="1118">
        <f t="shared" si="20"/>
        <v>2526</v>
      </c>
      <c r="H31" s="1117">
        <f t="shared" si="20"/>
        <v>0</v>
      </c>
      <c r="I31" s="1119">
        <f t="shared" si="20"/>
        <v>0</v>
      </c>
      <c r="J31" s="1119">
        <f t="shared" si="20"/>
        <v>0</v>
      </c>
      <c r="K31" s="1180">
        <f t="shared" si="20"/>
        <v>0</v>
      </c>
      <c r="L31" s="1119">
        <f t="shared" si="20"/>
        <v>207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1592</v>
      </c>
      <c r="X31" s="1118">
        <f t="shared" si="21"/>
        <v>458</v>
      </c>
      <c r="Y31" s="1125">
        <f t="shared" si="21"/>
        <v>2015</v>
      </c>
      <c r="Z31" s="1125">
        <f t="shared" si="21"/>
        <v>0</v>
      </c>
      <c r="AA31" s="1125">
        <f t="shared" si="21"/>
        <v>2281</v>
      </c>
      <c r="AB31" s="1125">
        <f t="shared" si="21"/>
        <v>7941</v>
      </c>
      <c r="AC31" s="1125">
        <f t="shared" si="21"/>
        <v>2582</v>
      </c>
      <c r="AD31" s="1125">
        <f t="shared" si="21"/>
        <v>0</v>
      </c>
      <c r="AE31" s="1127">
        <f t="shared" si="21"/>
        <v>0</v>
      </c>
      <c r="AF31" s="1128">
        <f t="shared" si="21"/>
        <v>0</v>
      </c>
      <c r="AG31" s="1129">
        <f t="shared" si="21"/>
        <v>0</v>
      </c>
      <c r="AH31" s="1127">
        <f t="shared" si="21"/>
        <v>0</v>
      </c>
      <c r="AI31" s="1117">
        <f t="shared" si="21"/>
        <v>645</v>
      </c>
      <c r="AJ31" s="1117">
        <f t="shared" si="21"/>
        <v>0</v>
      </c>
      <c r="AK31" s="1127">
        <f t="shared" si="21"/>
        <v>0</v>
      </c>
      <c r="AL31" s="1183">
        <f>IF(ISNUMBER(NºAsuntos!G31/NºAsuntos!E31),NºAsuntos!G31/NºAsuntos!E31," - ")</f>
        <v>1.4743317776834959</v>
      </c>
      <c r="AM31" s="1184">
        <f>IF(ISNUMBER(((NºAsuntos!I31/NºAsuntos!G31)*11)/factor_trimestre),((NºAsuntos!I31/NºAsuntos!G31)*11)/factor_trimestre," - ")</f>
        <v>5.8938129496402887</v>
      </c>
      <c r="AN31" s="1184">
        <f>IF(ISNUMBER('Resol  Asuntos'!D31/NºAsuntos!G31),'Resol  Asuntos'!D31/NºAsuntos!G31," - ")</f>
        <v>0.1856115107913669</v>
      </c>
      <c r="AO31" s="1185">
        <f>IF(ISNUMBER((NºAsuntos!C31+NºAsuntos!E31)/NºAsuntos!G31),(NºAsuntos!C31+NºAsuntos!E31)/NºAsuntos!G31," - ")</f>
        <v>2.9502158273381296</v>
      </c>
      <c r="AP31" s="1186" t="str">
        <f t="shared" si="2"/>
        <v xml:space="preserve"> - </v>
      </c>
      <c r="AQ31" s="1187">
        <f>IF(OR(ISNUMBER(FIND("01",Criterios!A8,1)),ISNUMBER(FIND("02",Criterios!A8,1)),ISNUMBER(FIND("03",Criterios!A8,1)),ISNUMBER(FIND("04",Criterios!A8,1))),(I31-W31+K31)/(F31-K31),(H31-W31+K31)/(F31-K31))</f>
        <v>-0.67629566694987253</v>
      </c>
      <c r="AR31" s="1188">
        <f>IF(ISNUMBER((Datos!P31-Datos!Q31)/(Datos!R31-Datos!P31+Datos!Q31)),(Datos!P31-Datos!Q31)/(Datos!R31-Datos!P31+Datos!Q31)," - ")</f>
        <v>-3.06396484375E-2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631.5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1.7404711333664431</v>
      </c>
      <c r="F33" s="276">
        <f>IF(ISNUMBER(STDEV(F8:F30)),STDEV(F8:F30),"-")</f>
        <v>1090.8592724916227</v>
      </c>
      <c r="G33" s="277">
        <f>IF(ISNUMBER(STDEV(G8:G30)),STDEV(G8:G30),"-")</f>
        <v>1066.1023805030572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659.20666605506085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168.50593461359156</v>
      </c>
      <c r="AJ33" s="276">
        <f t="shared" si="25"/>
        <v>0</v>
      </c>
      <c r="AK33" s="278">
        <f t="shared" si="25"/>
        <v>0</v>
      </c>
      <c r="AL33" s="273">
        <f t="shared" si="25"/>
        <v>0.34255911062526517</v>
      </c>
      <c r="AM33" s="274">
        <f t="shared" si="25"/>
        <v>2.2317612203138255</v>
      </c>
      <c r="AN33" s="274">
        <f t="shared" si="25"/>
        <v>8.4476494770124824E-2</v>
      </c>
      <c r="AO33" s="275">
        <f t="shared" si="25"/>
        <v>0.73548074613357939</v>
      </c>
      <c r="AP33" s="317" t="str">
        <f t="shared" si="25"/>
        <v>-</v>
      </c>
      <c r="AQ33" s="318">
        <f t="shared" si="25"/>
        <v>0.2165672121947472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1cwaE60hL1xe/2d9bMaI2zyipZQ2/QwRlWRduyVrJIlzAibu6qHilTq7JjqFKcFhpX8sOsgH5CBtScFRE9xz7g==" saltValue="DEW0lq1rNirR0ulnSEx5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INCA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8.8397790055248615E-2</v>
      </c>
      <c r="I9" s="395">
        <f>IF(ISNUMBER((Tasas!C9-Datos!BE9)/Datos!BE9),(Tasas!C9-Datos!BE9)/Datos!BE9," - ")</f>
        <v>-0.26411898033723613</v>
      </c>
      <c r="J9" s="394">
        <f>IF(ISNUMBER((Tasas!D9-Datos!BF9)/Datos!BF9),(Tasas!D9-Datos!BF9)/Datos!BF9," - ")</f>
        <v>-0.55345743486682286</v>
      </c>
      <c r="K9" s="396">
        <f>IF(ISNUMBER((Tasas!E9-Datos!BG9)/Datos!BG9),(Tasas!E9-Datos!BG9)/Datos!BG9," - ")</f>
        <v>-0.20735777522377269</v>
      </c>
      <c r="M9" t="e">
        <f>IF(Monitorios="SI",Datos!CE9,0)</f>
        <v>#REF!</v>
      </c>
      <c r="N9" t="e">
        <f>IF(Monitorios="SI",Datos!CF9,0)</f>
        <v>#REF!</v>
      </c>
      <c r="O9" t="e">
        <f>IF(Monitorios="SI",Datos!CG9,0)</f>
        <v>#REF!</v>
      </c>
      <c r="P9" t="e">
        <f>IF(Monitorios="SI",Datos!CH9,0)</f>
        <v>#REF!</v>
      </c>
      <c r="Q9">
        <f>IF(J_V="SI",0,Datos!AG9)</f>
        <v>152</v>
      </c>
      <c r="R9">
        <f>IF(J_V="SI",0,Datos!AH9)</f>
        <v>105</v>
      </c>
      <c r="S9">
        <f>IF(J_V="SI",0,Datos!AI9)</f>
        <v>98</v>
      </c>
      <c r="T9">
        <f>IF(J_V="SI",0,Datos!AJ9)</f>
        <v>159</v>
      </c>
    </row>
    <row r="10" spans="2:20" ht="14.25">
      <c r="B10" s="300" t="s">
        <v>321</v>
      </c>
      <c r="C10" s="7" t="str">
        <f>Datos!A10</f>
        <v>Jdos. Violencia contra la mujer</v>
      </c>
      <c r="D10" s="397">
        <f>IF(ISNUMBER((Datos!I10-Datos!S10)/Datos!S10),(Datos!I10-Datos!S10)/Datos!S10," - ")</f>
        <v>7.6923076923076927E-2</v>
      </c>
      <c r="E10" s="393">
        <f>IF(ISNUMBER((Datos!J10-Datos!T10)/Datos!T10),(Datos!J10-Datos!T10)/Datos!T10," - ")</f>
        <v>0</v>
      </c>
      <c r="F10" s="393">
        <f>IF(ISNUMBER((Datos!K10-Datos!U10)/Datos!U10),(Datos!K10-Datos!U10)/Datos!U10," - ")</f>
        <v>0.28000000000000003</v>
      </c>
      <c r="G10" s="394">
        <f>IF(ISNUMBER((Datos!L10-Datos!V10)/Datos!V10),(Datos!L10-Datos!V10)/Datos!V10," - ")</f>
        <v>-1.2500000000000001E-2</v>
      </c>
      <c r="H10" s="244">
        <f>IF(ISNUMBER((Datos!M10-Datos!W10)/Datos!W10),(Datos!M10-Datos!W10)/Datos!W10," - ")</f>
        <v>0</v>
      </c>
      <c r="I10" s="395">
        <f>IF(ISNUMBER((Tasas!C10-Datos!BE10)/Datos!BE10),(Tasas!C10-Datos!BE10)/Datos!BE10," - ")</f>
        <v>-0.22851562500000006</v>
      </c>
      <c r="J10" s="394">
        <f>IF(ISNUMBER((Tasas!D10-Datos!BF10)/Datos!BF10),(Tasas!D10-Datos!BF10)/Datos!BF10," - ")</f>
        <v>-0.21875</v>
      </c>
      <c r="K10" s="396">
        <f>IF(ISNUMBER((Tasas!E10-Datos!BG10)/Datos!BG10),(Tasas!E10-Datos!BG10)/Datos!BG10," - ")</f>
        <v>-0.1741071428571429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8.5790884718498661E-2</v>
      </c>
      <c r="I14" s="402">
        <f>IF(ISNUMBER((Tasas!C14-Datos!BE14)/Datos!BE14),(Tasas!C14-Datos!BE14)/Datos!BE14," - ")</f>
        <v>-0.26353700080580084</v>
      </c>
      <c r="J14" s="400">
        <f>IF(ISNUMBER((Tasas!D14-Datos!BF14)/Datos!BF14),(Tasas!D14-Datos!BF14)/Datos!BF14," - ")</f>
        <v>-0.54819798389966701</v>
      </c>
      <c r="K14" s="403">
        <f>IF(ISNUMBER((Tasas!E14-Datos!BG14)/Datos!BG14),(Tasas!E14-Datos!BG14)/Datos!BG14," - ")</f>
        <v>-0.20681050919994121</v>
      </c>
      <c r="M14" t="e">
        <f>IF(Monitorios="SI",Datos!CE14,0)</f>
        <v>#REF!</v>
      </c>
      <c r="N14" t="e">
        <f>IF(Monitorios="SI",Datos!CF14,0)</f>
        <v>#REF!</v>
      </c>
      <c r="O14" t="e">
        <f>IF(Monitorios="SI",Datos!CG14,0)</f>
        <v>#REF!</v>
      </c>
      <c r="P14" t="e">
        <f>IF(Monitorios="SI",Datos!CH14,0)</f>
        <v>#REF!</v>
      </c>
      <c r="Q14">
        <f>IF(J_V="SI",0,Datos!AG14)</f>
        <v>152</v>
      </c>
      <c r="R14">
        <f>IF(J_V="SI",0,Datos!AH14)</f>
        <v>105</v>
      </c>
      <c r="S14">
        <f>IF(J_V="SI",0,Datos!AI14)</f>
        <v>98</v>
      </c>
      <c r="T14">
        <f>IF(J_V="SI",0,Datos!AJ14)</f>
        <v>159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5.1972157772621812E-2</v>
      </c>
      <c r="E16" s="393">
        <f>IF(ISNUMBER(
   IF(D_I="SI",(Datos!J16-Datos!T16)/Datos!T16,(Datos!J16+Datos!AD16-(Datos!T16+Datos!AL16))/(Datos!T16+Datos!AL16))
     ),IF(D_I="SI",(Datos!J16-Datos!T16)/Datos!T16,(Datos!J16+Datos!AD16-(Datos!T16+Datos!AL16))/(Datos!T16+Datos!AL16))," - ")</f>
        <v>-0.125948406676783</v>
      </c>
      <c r="F16" s="393">
        <f>IF(ISNUMBER(
   IF(D_I="SI",(Datos!K16-Datos!U16)/Datos!U16,(Datos!K16+Datos!AE16-(Datos!U16+Datos!AM16))/(Datos!U16+Datos!AM16))
     ),IF(D_I="SI",(Datos!K16-Datos!U16)/Datos!U16,(Datos!K16+Datos!AE16-(Datos!U16+Datos!AM16))/(Datos!U16+Datos!AM16))," - ")</f>
        <v>-6.8181818181818177E-2</v>
      </c>
      <c r="G16" s="394">
        <f>IF(ISNUMBER(
   IF(D_I="SI",(Datos!L16-Datos!V16)/Datos!V16,(Datos!L16+Datos!AF16-(Datos!V16+Datos!AN16))/(Datos!V16+Datos!AN16))
     ),IF(D_I="SI",(Datos!L16-Datos!V16)/Datos!V16,(Datos!L16+Datos!AF16-(Datos!V16+Datos!AN16))/(Datos!V16+Datos!AN16))," - ")</f>
        <v>2.2266204849084613E-2</v>
      </c>
      <c r="H16" s="244">
        <f>IF(ISNUMBER((Datos!M16-Datos!W16)/Datos!W16),(Datos!M16-Datos!W16)/Datos!W16," - ")</f>
        <v>7.3170731707317069E-2</v>
      </c>
      <c r="I16" s="395">
        <f>IF(ISNUMBER((Tasas!C16-Datos!BE16)/Datos!BE16),(Tasas!C16-Datos!BE16)/Datos!BE16," - ")</f>
        <v>9.706617105755419E-2</v>
      </c>
      <c r="J16" s="394">
        <f>IF(ISNUMBER((Tasas!D16-Datos!BF16)/Datos!BF16),(Tasas!D16-Datos!BF16)/Datos!BF16," - ")</f>
        <v>0.1516954193932184</v>
      </c>
      <c r="K16" s="396">
        <f>IF(ISNUMBER((Tasas!E16-Datos!BG16)/Datos!BG16),(Tasas!E16-Datos!BG16)/Datos!BG16," - ")</f>
        <v>5.6484518199630483E-2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-0.5714285714285714</v>
      </c>
      <c r="E17" s="393" t="str">
        <f>IF(ISNUMBER(
   IF(D_I="SI",(Datos!J17-Datos!T17)/Datos!T17,(Datos!J17+Datos!AD17-(Datos!T17+Datos!AL17))/(Datos!T17+Datos!AL17))
     ),IF(D_I="SI",(Datos!J17-Datos!T17)/Datos!T17,(Datos!J17+Datos!AD17-(Datos!T17+Datos!AL17))/(Datos!T17+Datos!AL17))," - ")</f>
        <v xml:space="preserve"> - </v>
      </c>
      <c r="F17" s="393">
        <f>IF(ISNUMBER(
   IF(D_I="SI",(Datos!K17-Datos!U17)/Datos!U17,(Datos!K17+Datos!AE17-(Datos!U17+Datos!AM17))/(Datos!U17+Datos!AM17))
     ),IF(D_I="SI",(Datos!K17-Datos!U17)/Datos!U17,(Datos!K17+Datos!AE17-(Datos!U17+Datos!AM17))/(Datos!U17+Datos!AM17))," - ")</f>
        <v>-1</v>
      </c>
      <c r="G17" s="394">
        <f>IF(ISNUMBER(
   IF(D_I="SI",(Datos!L17-Datos!V17)/Datos!V17,(Datos!L17+Datos!AF17-(Datos!V17+Datos!AN17))/(Datos!V17+Datos!AN17))
     ),IF(D_I="SI",(Datos!L17-Datos!V17)/Datos!V17,(Datos!L17+Datos!AF17-(Datos!V17+Datos!AN17))/(Datos!V17+Datos!AN17))," - ")</f>
        <v>-0.5</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-0.16908212560386474</v>
      </c>
      <c r="E18" s="393">
        <f>IF(ISNUMBER(
   IF(D_I="SI",(Datos!J18-Datos!T18)/Datos!T18,(Datos!J18+Datos!AD18-(Datos!T18+Datos!AL18))/(Datos!T18+Datos!AL18))
     ),IF(D_I="SI",(Datos!J18-Datos!T18)/Datos!T18,(Datos!J18+Datos!AD18-(Datos!T18+Datos!AL18))/(Datos!T18+Datos!AL18))," - ")</f>
        <v>-1.1764705882352941E-2</v>
      </c>
      <c r="F18" s="393">
        <f>IF(ISNUMBER(
   IF(D_I="SI",(Datos!K18-Datos!U18)/Datos!U18,(Datos!K18+Datos!AE18-(Datos!U18+Datos!AM18))/(Datos!U18+Datos!AM18))
     ),IF(D_I="SI",(Datos!K18-Datos!U18)/Datos!U18,(Datos!K18+Datos!AE18-(Datos!U18+Datos!AM18))/(Datos!U18+Datos!AM18))," - ")</f>
        <v>-1.8957345971563982E-2</v>
      </c>
      <c r="G18" s="394">
        <f>IF(ISNUMBER(
   IF(D_I="SI",(Datos!L18-Datos!V18)/Datos!V18,(Datos!L18+Datos!AF18-(Datos!V18+Datos!AN18))/(Datos!V18+Datos!AN18))
     ),IF(D_I="SI",(Datos!L18-Datos!V18)/Datos!V18,(Datos!L18+Datos!AF18-(Datos!V18+Datos!AN18))/(Datos!V18+Datos!AN18))," - ")</f>
        <v>-0.19879518072289157</v>
      </c>
      <c r="H18" s="244">
        <f>IF(ISNUMBER((Datos!M18-Datos!W18)/Datos!W18),(Datos!M18-Datos!W18)/Datos!W18," - ")</f>
        <v>0.42222222222222222</v>
      </c>
      <c r="I18" s="395">
        <f>IF(ISNUMBER((Tasas!C18-Datos!BE18)/Datos!BE18),(Tasas!C18-Datos!BE18)/Datos!BE18," - ")</f>
        <v>-0.1833129619928992</v>
      </c>
      <c r="J18" s="394">
        <f>IF(ISNUMBER((Tasas!D18-Datos!BF18)/Datos!BF18),(Tasas!D18-Datos!BF18)/Datos!BF18," - ")</f>
        <v>0.44970477724100899</v>
      </c>
      <c r="K18" s="396">
        <f>IF(ISNUMBER((Tasas!E18-Datos!BG18)/Datos!BG18),(Tasas!E18-Datos!BG18)/Datos!BG18," - ")</f>
        <v>-8.0716052230295085E-2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3.0814689742507388E-2</v>
      </c>
      <c r="E23" s="399">
        <f>IF(ISNUMBER(
   IF(D_I="SI",(Datos!J23-Datos!T23)/Datos!T23,(Datos!J23+Datos!AD23-(Datos!T23+Datos!AL23))/(Datos!T23+Datos!AL23))
     ),IF(D_I="SI",(Datos!J23-Datos!T23)/Datos!T23,(Datos!J23+Datos!AD23-(Datos!T23+Datos!AL23))/(Datos!T23+Datos!AL23))," - ")</f>
        <v>-0.11290322580645161</v>
      </c>
      <c r="F23" s="399">
        <f>IF(ISNUMBER(
   IF(D_I="SI",(Datos!K23-Datos!U23)/Datos!U23,(Datos!K23+Datos!AE23-(Datos!U23+Datos!AM23))/(Datos!U23+Datos!AM23))
     ),IF(D_I="SI",(Datos!K23-Datos!U23)/Datos!U23,(Datos!K23+Datos!AE23-(Datos!U23+Datos!AM23))/(Datos!U23+Datos!AM23))," - ")</f>
        <v>-6.25E-2</v>
      </c>
      <c r="G23" s="400">
        <f>IF(ISNUMBER(
   IF(D_I="SI",(Datos!L23-Datos!V23)/Datos!V23,(Datos!L23+Datos!AF23-(Datos!V23+Datos!AN23))/(Datos!V23+Datos!AN23))
     ),IF(D_I="SI",(Datos!L23-Datos!V23)/Datos!V23,(Datos!L23+Datos!AF23-(Datos!V23+Datos!AN23))/(Datos!V23+Datos!AN23))," - ")</f>
        <v>4.1039671682626538E-3</v>
      </c>
      <c r="H23" s="401">
        <f>IF(ISNUMBER((Datos!M23-Datos!W23)/Datos!W23),(Datos!M23-Datos!W23)/Datos!W23," - ")</f>
        <v>0.14832535885167464</v>
      </c>
      <c r="I23" s="402">
        <f>IF(ISNUMBER((Tasas!C23-Datos!BE23)/Datos!BE23),(Tasas!C23-Datos!BE23)/Datos!BE23," - ")</f>
        <v>7.1044231646146982E-2</v>
      </c>
      <c r="J23" s="400">
        <f>IF(ISNUMBER((Tasas!D23-Datos!BF23)/Datos!BF23),(Tasas!D23-Datos!BF23)/Datos!BF23," - ")</f>
        <v>0.22488038277511971</v>
      </c>
      <c r="K23" s="403">
        <f>IF(ISNUMBER((Tasas!E23-Datos!BG23)/Datos!BG23),(Tasas!E23-Datos!BG23)/Datos!BG23," - ")</f>
        <v>4.0394088669950728E-2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9.5158829241226248E-2</v>
      </c>
      <c r="E31" s="409">
        <f>IF(ISNUMBER(
   IF(J_V="SI",(Datos!J31-Datos!T31)/Datos!T31,(Datos!J31+Datos!Z31-(Datos!T31+Datos!AH31))/(Datos!T31+Datos!AH31))
     ),IF(J_V="SI",(Datos!J31-Datos!T31)/Datos!T31,(Datos!J31+Datos!Z31-(Datos!T31+Datos!AH31))/(Datos!T31+Datos!AH31))," - ")</f>
        <v>-0.21694352159468439</v>
      </c>
      <c r="F31" s="409">
        <f>IF(ISNUMBER(
   IF(J_V="SI",(Datos!K31-Datos!U31)/Datos!U31,(Datos!K31+Datos!AA31-(Datos!U31+Datos!AI31))/(Datos!U31+Datos!AI31))
     ),IF(J_V="SI",(Datos!K31-Datos!U31)/Datos!U31,(Datos!K31+Datos!AA31-(Datos!U31+Datos!AI31))/(Datos!U31+Datos!AI31))," - ")</f>
        <v>0.10212496035521726</v>
      </c>
      <c r="G31" s="410">
        <f>IF(ISNUMBER(
   IF(J_V="SI",(Datos!L31-Datos!V31)/Datos!V31,(Datos!L31+Datos!AB31-(Datos!V31+Datos!AJ31))/(Datos!V31+Datos!AJ31))
     ),IF(J_V="SI",(Datos!L31-Datos!V31)/Datos!V31,(Datos!L31+Datos!AB31-(Datos!V31+Datos!AJ31))/(Datos!V31+Datos!AJ31))," - ")</f>
        <v>-3.518937252685133E-2</v>
      </c>
      <c r="H31" s="411">
        <f>IF(ISNUMBER((Datos!M31-Datos!W31)/Datos!W31),(Datos!M31-Datos!W31)/Datos!W31," - ")</f>
        <v>0.10824742268041238</v>
      </c>
      <c r="I31" s="408">
        <f>IF(ISNUMBER((Tasas!C31-Datos!BE31)/Datos!BE31),(Tasas!C31-Datos!BE31)/Datos!BE31," - ")</f>
        <v>-0.12459052995026255</v>
      </c>
      <c r="J31" s="409">
        <f>IF(ISNUMBER((Tasas!D31-Datos!BF31)/Datos!BF31),(Tasas!D31-Datos!BF31)/Datos!BF31," - ")</f>
        <v>-0.35404735813997817</v>
      </c>
      <c r="K31" s="410">
        <f>IF(ISNUMBER((Tasas!E31-Datos!BG31)/Datos!BG31),(Tasas!E31-Datos!BG31)/Datos!BG31," - ")</f>
        <v>-8.9731822722661503E-2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0.27259002183003278</v>
      </c>
      <c r="E33" s="303">
        <f t="shared" si="1"/>
        <v>6.594545873289917E-2</v>
      </c>
      <c r="F33" s="303">
        <f t="shared" si="1"/>
        <v>0.48375095248768907</v>
      </c>
      <c r="G33" s="304">
        <f t="shared" si="1"/>
        <v>0.22156485889773267</v>
      </c>
      <c r="H33" s="310">
        <f t="shared" si="1"/>
        <v>0.14785459848619056</v>
      </c>
      <c r="I33" s="302">
        <f t="shared" si="1"/>
        <v>0.16753092850959492</v>
      </c>
      <c r="J33" s="303">
        <f t="shared" si="1"/>
        <v>0.42185579801904433</v>
      </c>
      <c r="K33" s="304">
        <f t="shared" si="1"/>
        <v>0.12071967967002573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UGr1AgzUgvNky3AtSFhgaoGenTiDqgb2n/pGtHu2f9zaFlN9Zy2dBXZQuik1riHvRvInLcd1MEWC2TZyVrU2A==" saltValue="s5b2f3R2dlIamSquG0ffZ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